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ieseArbeitsmappe"/>
  <mc:AlternateContent xmlns:mc="http://schemas.openxmlformats.org/markup-compatibility/2006">
    <mc:Choice Requires="x15">
      <x15ac:absPath xmlns:x15ac="http://schemas.microsoft.com/office/spreadsheetml/2010/11/ac" url="E:\jj\BPR\Pruefungsliste\JiuJitsu\"/>
    </mc:Choice>
  </mc:AlternateContent>
  <xr:revisionPtr revIDLastSave="0" documentId="8_{A70A76A1-5E51-4C95-88E2-3E5EF4B917E3}" xr6:coauthVersionLast="36" xr6:coauthVersionMax="36" xr10:uidLastSave="{00000000-0000-0000-0000-000000000000}"/>
  <workbookProtection lockStructure="1"/>
  <bookViews>
    <workbookView xWindow="240" yWindow="75" windowWidth="9135" windowHeight="4965" xr2:uid="{00000000-000D-0000-FFFF-FFFF00000000}"/>
  </bookViews>
  <sheets>
    <sheet name="Außenseite" sheetId="3" r:id="rId1"/>
    <sheet name="Prüfungsliste" sheetId="1" r:id="rId2"/>
    <sheet name="MV" sheetId="5" state="hidden" r:id="rId3"/>
    <sheet name="ZE" sheetId="6" state="hidden" r:id="rId4"/>
    <sheet name="Statistik" sheetId="7" r:id="rId5"/>
    <sheet name="Kyuurkunde" sheetId="12" r:id="rId6"/>
    <sheet name="Jugendurkunde" sheetId="11" r:id="rId7"/>
    <sheet name="Danurkunde" sheetId="13" r:id="rId8"/>
  </sheets>
  <definedNames>
    <definedName name="angestrebterGrad">MV!$C$3:$C$15</definedName>
    <definedName name="AStufe">MV!$BD$7:$BK$9</definedName>
    <definedName name="AStufen">MV!$BE$5:$BK$7</definedName>
    <definedName name="Ausrichter">Außenseite!$S$16</definedName>
    <definedName name="bisherigerGrad">MV!$A$3:$A$15</definedName>
    <definedName name="bNb">MV!$BE$3:$BE$4</definedName>
    <definedName name="Danprüfung">MV!$BG$3</definedName>
    <definedName name="_xlnm.Print_Area" localSheetId="7">Danurkunde!$B$6:$H$13</definedName>
    <definedName name="_xlnm.Print_Area" localSheetId="6">Jugendurkunde!$B$6:$I$13</definedName>
    <definedName name="_xlnm.Print_Area" localSheetId="5">Kyuurkunde!$B$6:$I$13</definedName>
    <definedName name="Kinderprüfungsgrenze">ZE!$A$2</definedName>
    <definedName name="Kyuprüfung">MV!$BH$3</definedName>
    <definedName name="Kyuprüfungen">MV!$BH$3</definedName>
    <definedName name="mindestalterErreicht">ZE!$C$4:$C$23</definedName>
    <definedName name="nst">MV!$C$3:$M$15</definedName>
    <definedName name="nstGrad">MV!$A$3:$C$15</definedName>
    <definedName name="pli">MV!$P$3:$BB$41</definedName>
    <definedName name="PTag">Außenseite!$P$14</definedName>
    <definedName name="vorbereitungszeitErreicht">ZE!$E$4:$E$23</definedName>
  </definedNames>
  <calcPr calcId="191029"/>
</workbook>
</file>

<file path=xl/calcChain.xml><?xml version="1.0" encoding="utf-8"?>
<calcChain xmlns="http://schemas.openxmlformats.org/spreadsheetml/2006/main">
  <c r="P14" i="3" l="1"/>
  <c r="S21" i="3"/>
  <c r="E4" i="13" l="1"/>
  <c r="F4" i="13"/>
  <c r="E13" i="13" l="1"/>
  <c r="C17" i="1"/>
  <c r="C16" i="1"/>
  <c r="C7" i="1" l="1"/>
  <c r="C6" i="1"/>
  <c r="AF29" i="1" l="1"/>
  <c r="T29" i="1"/>
  <c r="H29" i="1"/>
  <c r="AH23" i="1"/>
  <c r="AH22" i="1"/>
  <c r="AH21" i="1"/>
  <c r="AH20" i="1"/>
  <c r="AH19" i="1"/>
  <c r="AH18" i="1"/>
  <c r="AH17" i="1"/>
  <c r="AH16" i="1"/>
  <c r="AH15" i="1"/>
  <c r="AH14" i="1"/>
  <c r="AH13" i="1"/>
  <c r="AH12" i="1"/>
  <c r="AH11" i="1"/>
  <c r="AH10" i="1"/>
  <c r="AH9" i="1"/>
  <c r="AH8" i="1"/>
  <c r="AH7" i="1"/>
  <c r="AH6" i="1"/>
  <c r="AH5" i="1"/>
  <c r="AH4" i="1"/>
  <c r="AK23" i="1"/>
  <c r="AK22" i="1"/>
  <c r="AK21" i="1"/>
  <c r="AK20" i="1"/>
  <c r="AK19" i="1"/>
  <c r="AK18" i="1"/>
  <c r="AK17" i="1"/>
  <c r="AK16" i="1"/>
  <c r="AK15" i="1"/>
  <c r="AK14" i="1"/>
  <c r="AK13" i="1"/>
  <c r="AK12" i="1"/>
  <c r="AK11" i="1"/>
  <c r="AK10" i="1"/>
  <c r="AK9" i="1"/>
  <c r="AK8" i="1"/>
  <c r="AK7" i="1"/>
  <c r="AK6" i="1"/>
  <c r="AK5" i="1"/>
  <c r="AK4" i="1"/>
  <c r="AD23" i="1"/>
  <c r="AD22" i="1"/>
  <c r="AD21" i="1"/>
  <c r="AD20" i="1"/>
  <c r="AD19" i="1"/>
  <c r="AD18" i="1"/>
  <c r="AD17" i="1"/>
  <c r="AD16" i="1"/>
  <c r="AD15" i="1"/>
  <c r="AD14" i="1"/>
  <c r="AD13" i="1"/>
  <c r="AD12" i="1"/>
  <c r="AD11" i="1"/>
  <c r="AD10" i="1"/>
  <c r="AD9" i="1"/>
  <c r="AD8" i="1"/>
  <c r="AD7" i="1"/>
  <c r="AD6" i="1"/>
  <c r="AD5" i="1"/>
  <c r="AD4" i="1"/>
  <c r="AA23" i="1"/>
  <c r="AA22" i="1"/>
  <c r="AA21" i="1"/>
  <c r="AA20" i="1"/>
  <c r="AA19" i="1"/>
  <c r="AA18" i="1"/>
  <c r="AA17" i="1"/>
  <c r="AA16" i="1"/>
  <c r="AA15" i="1"/>
  <c r="AA14" i="1"/>
  <c r="AA13" i="1"/>
  <c r="AA12" i="1"/>
  <c r="AA11" i="1"/>
  <c r="AA10" i="1"/>
  <c r="AA9" i="1"/>
  <c r="AA8" i="1"/>
  <c r="AA7" i="1"/>
  <c r="AA6" i="1"/>
  <c r="AA5" i="1"/>
  <c r="AA4" i="1"/>
  <c r="S23" i="1"/>
  <c r="S22" i="1"/>
  <c r="S21" i="1"/>
  <c r="S20" i="1"/>
  <c r="S19" i="1"/>
  <c r="S18" i="1"/>
  <c r="S17" i="1"/>
  <c r="S16" i="1"/>
  <c r="S15" i="1"/>
  <c r="S14" i="1"/>
  <c r="S13" i="1"/>
  <c r="S12" i="1"/>
  <c r="S11" i="1"/>
  <c r="S10" i="1"/>
  <c r="S9" i="1"/>
  <c r="S8" i="1"/>
  <c r="S7" i="1"/>
  <c r="S6" i="1"/>
  <c r="S5" i="1"/>
  <c r="M23" i="1"/>
  <c r="M22" i="1"/>
  <c r="M21" i="1"/>
  <c r="M20" i="1"/>
  <c r="M19" i="1"/>
  <c r="M18" i="1"/>
  <c r="M17" i="1"/>
  <c r="M16" i="1"/>
  <c r="M15" i="1"/>
  <c r="M14" i="1"/>
  <c r="M13" i="1"/>
  <c r="M12" i="1"/>
  <c r="M11" i="1"/>
  <c r="M10" i="1"/>
  <c r="M9" i="1"/>
  <c r="M8" i="1"/>
  <c r="M7" i="1"/>
  <c r="M6" i="1"/>
  <c r="M5" i="1"/>
  <c r="S4" i="1"/>
  <c r="M4" i="1"/>
  <c r="M23" i="6"/>
  <c r="M22" i="6"/>
  <c r="M21" i="6"/>
  <c r="M20" i="6"/>
  <c r="M19" i="6"/>
  <c r="M18" i="6"/>
  <c r="M17" i="6"/>
  <c r="M16" i="6"/>
  <c r="M15" i="6"/>
  <c r="M14" i="6"/>
  <c r="M13" i="6"/>
  <c r="M12" i="6"/>
  <c r="M11" i="6"/>
  <c r="M10" i="6"/>
  <c r="M9" i="6"/>
  <c r="M8" i="6"/>
  <c r="M7" i="6"/>
  <c r="M6" i="6"/>
  <c r="M5" i="6"/>
  <c r="M4" i="6"/>
  <c r="AZ41" i="5"/>
  <c r="BB41" i="5" s="1"/>
  <c r="AZ40" i="5"/>
  <c r="BB40" i="5" s="1"/>
  <c r="AZ39" i="5"/>
  <c r="BB39" i="5" s="1"/>
  <c r="AZ38" i="5"/>
  <c r="BB38" i="5" s="1"/>
  <c r="AZ37" i="5"/>
  <c r="BB37" i="5" s="1"/>
  <c r="AZ36" i="5"/>
  <c r="BB36" i="5" s="1"/>
  <c r="AZ35" i="5"/>
  <c r="BB35" i="5" s="1"/>
  <c r="AZ34" i="5"/>
  <c r="BB34" i="5"/>
  <c r="AZ33" i="5"/>
  <c r="BB33" i="5" s="1"/>
  <c r="AZ32" i="5"/>
  <c r="BB32" i="5" s="1"/>
  <c r="AZ31" i="5"/>
  <c r="BB31" i="5"/>
  <c r="AZ30" i="5"/>
  <c r="BB30" i="5"/>
  <c r="AZ29" i="5"/>
  <c r="BB29" i="5" s="1"/>
  <c r="AZ28" i="5"/>
  <c r="BB28" i="5" s="1"/>
  <c r="AZ27" i="5"/>
  <c r="BB27" i="5" s="1"/>
  <c r="AZ26" i="5"/>
  <c r="BB26" i="5" s="1"/>
  <c r="AZ25" i="5"/>
  <c r="BB25" i="5" s="1"/>
  <c r="AZ24" i="5"/>
  <c r="BB24" i="5"/>
  <c r="AZ23" i="5"/>
  <c r="BB23" i="5" s="1"/>
  <c r="AZ22" i="5"/>
  <c r="BB22" i="5" s="1"/>
  <c r="AZ21" i="5"/>
  <c r="BB21" i="5" s="1"/>
  <c r="AZ20" i="5"/>
  <c r="BB20" i="5" s="1"/>
  <c r="AZ19" i="5"/>
  <c r="BB19" i="5"/>
  <c r="AZ18" i="5"/>
  <c r="BB18" i="5" s="1"/>
  <c r="AZ17" i="5"/>
  <c r="BB17" i="5" s="1"/>
  <c r="AZ16" i="5"/>
  <c r="BB16" i="5" s="1"/>
  <c r="AZ15" i="5"/>
  <c r="BB15" i="5" s="1"/>
  <c r="AZ14" i="5"/>
  <c r="BB14" i="5" s="1"/>
  <c r="AZ13" i="5"/>
  <c r="BB13" i="5"/>
  <c r="AZ12" i="5"/>
  <c r="BB12" i="5"/>
  <c r="AZ11" i="5"/>
  <c r="BB11" i="5" s="1"/>
  <c r="AZ10" i="5"/>
  <c r="BB10" i="5" s="1"/>
  <c r="AZ9" i="5"/>
  <c r="BB9" i="5" s="1"/>
  <c r="AZ8" i="5"/>
  <c r="BB8" i="5" s="1"/>
  <c r="AZ7" i="5"/>
  <c r="BB7" i="5" s="1"/>
  <c r="AZ6" i="5"/>
  <c r="BB6" i="5" s="1"/>
  <c r="AZ5" i="5"/>
  <c r="BB5" i="5" s="1"/>
  <c r="AZ4" i="5"/>
  <c r="BB4" i="5"/>
  <c r="AZ3" i="5"/>
  <c r="BB3" i="5" s="1"/>
  <c r="AU2" i="5"/>
  <c r="AS2" i="5"/>
  <c r="AR2" i="5"/>
  <c r="AP2" i="5"/>
  <c r="AO2" i="5"/>
  <c r="AN2" i="5"/>
  <c r="AL2" i="5"/>
  <c r="AK2" i="5"/>
  <c r="AI2" i="5"/>
  <c r="AH2" i="5"/>
  <c r="AG2" i="5"/>
  <c r="AF2" i="5"/>
  <c r="AE2" i="5"/>
  <c r="AD2" i="5"/>
  <c r="AC2" i="5"/>
  <c r="AA2" i="5"/>
  <c r="Z2" i="5"/>
  <c r="Y2" i="5"/>
  <c r="X2" i="5"/>
  <c r="W2" i="5"/>
  <c r="U2" i="5"/>
  <c r="T2" i="5"/>
  <c r="S2" i="5"/>
  <c r="R2" i="5"/>
  <c r="Q2" i="5"/>
  <c r="C9" i="1"/>
  <c r="C8" i="1"/>
  <c r="C5" i="1"/>
  <c r="Z23" i="6"/>
  <c r="Z22" i="6"/>
  <c r="Z21" i="6"/>
  <c r="Z20" i="6"/>
  <c r="Z19" i="6"/>
  <c r="Z18" i="6"/>
  <c r="Z17" i="6"/>
  <c r="Z16" i="6"/>
  <c r="Z15" i="6"/>
  <c r="Z14" i="6"/>
  <c r="Z13" i="6"/>
  <c r="Z12" i="6"/>
  <c r="Z11" i="6"/>
  <c r="Z10" i="6"/>
  <c r="Z9" i="6"/>
  <c r="Z8" i="6"/>
  <c r="Z7" i="6"/>
  <c r="Z6" i="6"/>
  <c r="Z5" i="6"/>
  <c r="Z4" i="6"/>
  <c r="AP1" i="1"/>
  <c r="L10" i="5"/>
  <c r="L9" i="5"/>
  <c r="L8" i="5"/>
  <c r="L6" i="5"/>
  <c r="L4" i="5"/>
  <c r="Q4" i="7"/>
  <c r="O4" i="7"/>
  <c r="M4" i="7"/>
  <c r="K4" i="7"/>
  <c r="I4" i="7"/>
  <c r="G4" i="7"/>
  <c r="E4" i="7"/>
  <c r="O23" i="6"/>
  <c r="S23" i="6" s="1"/>
  <c r="O22" i="6"/>
  <c r="S22" i="6" s="1"/>
  <c r="O21" i="6"/>
  <c r="S21" i="6" s="1"/>
  <c r="O20" i="6"/>
  <c r="S20" i="6" s="1"/>
  <c r="O19" i="6"/>
  <c r="O18" i="6"/>
  <c r="S18" i="6" s="1"/>
  <c r="O17" i="6"/>
  <c r="O16" i="6"/>
  <c r="O15" i="6"/>
  <c r="S15" i="6" s="1"/>
  <c r="O14" i="6"/>
  <c r="S14" i="6" s="1"/>
  <c r="O13" i="6"/>
  <c r="S13" i="6" s="1"/>
  <c r="O12" i="6"/>
  <c r="S12" i="6" s="1"/>
  <c r="O11" i="6"/>
  <c r="S11" i="6" s="1"/>
  <c r="P11" i="6"/>
  <c r="O10" i="6"/>
  <c r="S10" i="6" s="1"/>
  <c r="O9" i="6"/>
  <c r="S9" i="6" s="1"/>
  <c r="B18" i="7"/>
  <c r="B17" i="7"/>
  <c r="B16" i="7"/>
  <c r="B15" i="7"/>
  <c r="B14" i="7"/>
  <c r="B13" i="7"/>
  <c r="B12" i="7"/>
  <c r="B11" i="7"/>
  <c r="B10" i="7"/>
  <c r="B9" i="7"/>
  <c r="B8" i="7"/>
  <c r="B7" i="7"/>
  <c r="B6" i="7"/>
  <c r="C23" i="1"/>
  <c r="C21" i="1"/>
  <c r="C20" i="1"/>
  <c r="C19" i="1"/>
  <c r="C18" i="1"/>
  <c r="C15" i="1"/>
  <c r="C14" i="1"/>
  <c r="C13" i="1"/>
  <c r="C12" i="1"/>
  <c r="C11" i="1"/>
  <c r="C10" i="1"/>
  <c r="C4" i="1"/>
  <c r="C22" i="1"/>
  <c r="O8" i="6"/>
  <c r="S8" i="6" s="1"/>
  <c r="B16" i="6"/>
  <c r="D16" i="6" s="1"/>
  <c r="B19" i="6"/>
  <c r="D19" i="6" s="1"/>
  <c r="B11" i="6"/>
  <c r="D11" i="6" s="1"/>
  <c r="B8" i="6"/>
  <c r="G8" i="1" s="1"/>
  <c r="D8" i="6"/>
  <c r="B13" i="6"/>
  <c r="G13" i="1" s="1"/>
  <c r="E13" i="6" s="1"/>
  <c r="B12" i="6"/>
  <c r="G12" i="1" s="1"/>
  <c r="B14" i="6"/>
  <c r="D14" i="6" s="1"/>
  <c r="B9" i="6"/>
  <c r="G9" i="1" s="1"/>
  <c r="AS9" i="1" s="1"/>
  <c r="B17" i="6"/>
  <c r="D17" i="6" s="1"/>
  <c r="B21" i="6"/>
  <c r="G21" i="1" s="1"/>
  <c r="D21" i="6"/>
  <c r="B10" i="6"/>
  <c r="D10" i="6" s="1"/>
  <c r="G10" i="1"/>
  <c r="G10" i="6" s="1"/>
  <c r="AR10" i="1" s="1"/>
  <c r="B23" i="6"/>
  <c r="G23" i="1" s="1"/>
  <c r="H23" i="6" s="1"/>
  <c r="B20" i="6"/>
  <c r="G20" i="1" s="1"/>
  <c r="B18" i="6"/>
  <c r="D18" i="6" s="1"/>
  <c r="B22" i="6"/>
  <c r="D22" i="6" s="1"/>
  <c r="B15" i="6"/>
  <c r="P21" i="6"/>
  <c r="P13" i="6"/>
  <c r="P12" i="6"/>
  <c r="P8" i="6"/>
  <c r="P23" i="6"/>
  <c r="AQ9" i="1"/>
  <c r="K9" i="6" s="1"/>
  <c r="H9" i="6"/>
  <c r="G9" i="6"/>
  <c r="AR9" i="1" s="1"/>
  <c r="I9" i="6"/>
  <c r="AX9" i="1" s="1"/>
  <c r="AA9" i="6" s="1"/>
  <c r="H21" i="6" l="1"/>
  <c r="E21" i="6"/>
  <c r="AQ21" i="1"/>
  <c r="K21" i="6" s="1"/>
  <c r="I21" i="6"/>
  <c r="AX21" i="1" s="1"/>
  <c r="AY21" i="1" s="1"/>
  <c r="C21" i="6"/>
  <c r="T21" i="6"/>
  <c r="G12" i="6"/>
  <c r="AR12" i="1" s="1"/>
  <c r="C12" i="6"/>
  <c r="I12" i="6"/>
  <c r="AX12" i="1" s="1"/>
  <c r="AA12" i="6" s="1"/>
  <c r="AQ12" i="1"/>
  <c r="L12" i="6" s="1"/>
  <c r="N12" i="6" s="1"/>
  <c r="R8" i="6"/>
  <c r="C8" i="6"/>
  <c r="F8" i="6"/>
  <c r="H8" i="6"/>
  <c r="I8" i="6"/>
  <c r="AX8" i="1" s="1"/>
  <c r="AA8" i="6" s="1"/>
  <c r="G8" i="6"/>
  <c r="AR8" i="1" s="1"/>
  <c r="AQ8" i="1"/>
  <c r="L8" i="6" s="1"/>
  <c r="N8" i="6" s="1"/>
  <c r="E9" i="6"/>
  <c r="D9" i="6"/>
  <c r="G11" i="1"/>
  <c r="E10" i="6"/>
  <c r="R10" i="6"/>
  <c r="R9" i="6"/>
  <c r="H10" i="6"/>
  <c r="G16" i="1"/>
  <c r="AS16" i="1" s="1"/>
  <c r="D12" i="6"/>
  <c r="AQ10" i="1"/>
  <c r="L10" i="6" s="1"/>
  <c r="N10" i="6" s="1"/>
  <c r="AW9" i="1"/>
  <c r="G14" i="1"/>
  <c r="R14" i="6" s="1"/>
  <c r="T8" i="6"/>
  <c r="I13" i="6"/>
  <c r="AX13" i="1" s="1"/>
  <c r="D20" i="6"/>
  <c r="T10" i="6"/>
  <c r="D13" i="6"/>
  <c r="P10" i="6"/>
  <c r="P18" i="6"/>
  <c r="P20" i="6"/>
  <c r="A19" i="6"/>
  <c r="B1" i="1"/>
  <c r="AS11" i="1"/>
  <c r="AS12" i="1"/>
  <c r="AS8" i="1"/>
  <c r="H12" i="6"/>
  <c r="R16" i="6"/>
  <c r="P19" i="6"/>
  <c r="S19" i="6"/>
  <c r="P14" i="6"/>
  <c r="P16" i="6"/>
  <c r="S16" i="6"/>
  <c r="P17" i="6"/>
  <c r="S17" i="6"/>
  <c r="F16" i="6"/>
  <c r="AS10" i="1"/>
  <c r="F10" i="6"/>
  <c r="G23" i="6"/>
  <c r="AR23" i="1" s="1"/>
  <c r="R13" i="6"/>
  <c r="G22" i="1"/>
  <c r="T22" i="6" s="1"/>
  <c r="C13" i="6"/>
  <c r="R12" i="6"/>
  <c r="I23" i="6"/>
  <c r="AX23" i="1" s="1"/>
  <c r="Q23" i="6" s="1"/>
  <c r="AW23" i="1"/>
  <c r="E23" i="6"/>
  <c r="AW10" i="1"/>
  <c r="C10" i="6"/>
  <c r="F13" i="6"/>
  <c r="F12" i="6"/>
  <c r="G18" i="1"/>
  <c r="R18" i="6" s="1"/>
  <c r="G19" i="1"/>
  <c r="AQ19" i="1" s="1"/>
  <c r="P22" i="6"/>
  <c r="G16" i="6"/>
  <c r="AR16" i="1" s="1"/>
  <c r="P15" i="6"/>
  <c r="AW12" i="1"/>
  <c r="T12" i="6"/>
  <c r="I10" i="6"/>
  <c r="AX10" i="1" s="1"/>
  <c r="AY10" i="1" s="1"/>
  <c r="E12" i="6"/>
  <c r="H16" i="6"/>
  <c r="AA13" i="6"/>
  <c r="Q13" i="6"/>
  <c r="AY13" i="1"/>
  <c r="Q12" i="6"/>
  <c r="L9" i="6"/>
  <c r="N9" i="6" s="1"/>
  <c r="J9" i="6" s="1"/>
  <c r="Q8" i="6"/>
  <c r="K12" i="6"/>
  <c r="AA21" i="6"/>
  <c r="J12" i="6"/>
  <c r="E20" i="6"/>
  <c r="G20" i="6"/>
  <c r="AR20" i="1" s="1"/>
  <c r="R20" i="6"/>
  <c r="H20" i="6"/>
  <c r="AW20" i="1"/>
  <c r="C20" i="6"/>
  <c r="T20" i="6"/>
  <c r="F20" i="6"/>
  <c r="AQ20" i="1"/>
  <c r="I20" i="6"/>
  <c r="AX20" i="1" s="1"/>
  <c r="Q20" i="6" s="1"/>
  <c r="AS20" i="1"/>
  <c r="AY12" i="1"/>
  <c r="C19" i="6"/>
  <c r="T14" i="6"/>
  <c r="D23" i="6"/>
  <c r="G14" i="6"/>
  <c r="AR14" i="1" s="1"/>
  <c r="F22" i="6"/>
  <c r="H22" i="6"/>
  <c r="AQ22" i="1"/>
  <c r="AW22" i="1"/>
  <c r="J10" i="6"/>
  <c r="T23" i="6"/>
  <c r="F23" i="6"/>
  <c r="C23" i="6"/>
  <c r="I14" i="6"/>
  <c r="AX14" i="1" s="1"/>
  <c r="AQ13" i="1"/>
  <c r="AW13" i="1"/>
  <c r="H13" i="6"/>
  <c r="T13" i="6"/>
  <c r="G13" i="6"/>
  <c r="AR13" i="1" s="1"/>
  <c r="AS13" i="1"/>
  <c r="AY9" i="1"/>
  <c r="I22" i="6"/>
  <c r="AX22" i="1" s="1"/>
  <c r="AS23" i="1"/>
  <c r="AQ23" i="1"/>
  <c r="AW21" i="1"/>
  <c r="R21" i="6"/>
  <c r="G21" i="6"/>
  <c r="AR21" i="1" s="1"/>
  <c r="Q21" i="6"/>
  <c r="AS21" i="1"/>
  <c r="T9" i="6"/>
  <c r="P9" i="6"/>
  <c r="Q9" i="6" s="1"/>
  <c r="F18" i="6"/>
  <c r="AQ18" i="1"/>
  <c r="AS18" i="1"/>
  <c r="E18" i="6"/>
  <c r="G11" i="6"/>
  <c r="AR11" i="1" s="1"/>
  <c r="F11" i="6"/>
  <c r="E11" i="6"/>
  <c r="I11" i="6"/>
  <c r="AX11" i="1" s="1"/>
  <c r="C11" i="6"/>
  <c r="H11" i="6"/>
  <c r="AY8" i="1"/>
  <c r="AS22" i="1"/>
  <c r="F21" i="6"/>
  <c r="AQ14" i="1"/>
  <c r="E14" i="6"/>
  <c r="H14" i="6"/>
  <c r="G15" i="1"/>
  <c r="D15" i="6"/>
  <c r="AW19" i="1"/>
  <c r="I19" i="6"/>
  <c r="AX19" i="1" s="1"/>
  <c r="F14" i="6"/>
  <c r="R19" i="6"/>
  <c r="F9" i="6"/>
  <c r="C9" i="6"/>
  <c r="L21" i="6"/>
  <c r="N21" i="6" s="1"/>
  <c r="AW11" i="1"/>
  <c r="R23" i="6"/>
  <c r="AW18" i="1"/>
  <c r="F19" i="6"/>
  <c r="G17" i="1"/>
  <c r="AW8" i="1"/>
  <c r="E8" i="6"/>
  <c r="AQ16" i="1"/>
  <c r="O7" i="6"/>
  <c r="S7" i="6" s="1"/>
  <c r="O6" i="6"/>
  <c r="S6" i="6" s="1"/>
  <c r="A13" i="6"/>
  <c r="E6" i="5"/>
  <c r="A22" i="6"/>
  <c r="A7" i="6"/>
  <c r="B7" i="6" s="1"/>
  <c r="G10" i="5"/>
  <c r="A8" i="6"/>
  <c r="G7" i="5"/>
  <c r="E3" i="5"/>
  <c r="A18" i="6"/>
  <c r="G15" i="5"/>
  <c r="G6" i="5"/>
  <c r="A6" i="6"/>
  <c r="B6" i="6" s="1"/>
  <c r="G6" i="1" s="1"/>
  <c r="E9" i="5"/>
  <c r="A10" i="6"/>
  <c r="E8" i="5"/>
  <c r="A20" i="6"/>
  <c r="A14" i="6"/>
  <c r="E5" i="5"/>
  <c r="G4" i="5"/>
  <c r="E7" i="5"/>
  <c r="E10" i="5"/>
  <c r="O4" i="6"/>
  <c r="S4" i="6" s="1"/>
  <c r="A9" i="6"/>
  <c r="G8" i="5"/>
  <c r="A5" i="6"/>
  <c r="B5" i="6" s="1"/>
  <c r="G5" i="1" s="1"/>
  <c r="G11" i="5"/>
  <c r="E11" i="5"/>
  <c r="G14" i="5"/>
  <c r="A23" i="6"/>
  <c r="A4" i="6"/>
  <c r="B4" i="6" s="1"/>
  <c r="G4" i="1" s="1"/>
  <c r="A16" i="6"/>
  <c r="A15" i="6"/>
  <c r="A17" i="6"/>
  <c r="G5" i="5"/>
  <c r="E4" i="5"/>
  <c r="G3" i="5"/>
  <c r="G12" i="5"/>
  <c r="G13" i="5"/>
  <c r="O5" i="6"/>
  <c r="S5" i="6" s="1"/>
  <c r="A12" i="6"/>
  <c r="A21" i="6"/>
  <c r="A11" i="6"/>
  <c r="N46" i="3"/>
  <c r="G9" i="5"/>
  <c r="AW14" i="1" l="1"/>
  <c r="H18" i="6"/>
  <c r="AS14" i="1"/>
  <c r="E16" i="6"/>
  <c r="I16" i="6"/>
  <c r="AX16" i="1" s="1"/>
  <c r="Q10" i="6"/>
  <c r="G19" i="6"/>
  <c r="AR19" i="1" s="1"/>
  <c r="K10" i="6"/>
  <c r="J8" i="6"/>
  <c r="K8" i="6"/>
  <c r="T11" i="6"/>
  <c r="AQ11" i="1"/>
  <c r="R11" i="6"/>
  <c r="C14" i="6"/>
  <c r="T16" i="6"/>
  <c r="C16" i="6"/>
  <c r="AW16" i="1"/>
  <c r="AY23" i="1"/>
  <c r="AA10" i="6"/>
  <c r="T19" i="6"/>
  <c r="E19" i="6"/>
  <c r="H19" i="6"/>
  <c r="R22" i="6"/>
  <c r="C22" i="6"/>
  <c r="G22" i="6"/>
  <c r="AR22" i="1" s="1"/>
  <c r="E22" i="6"/>
  <c r="C18" i="6"/>
  <c r="I18" i="6"/>
  <c r="AX18" i="1" s="1"/>
  <c r="G18" i="6"/>
  <c r="AR18" i="1" s="1"/>
  <c r="T18" i="6"/>
  <c r="Q22" i="6"/>
  <c r="AA23" i="6"/>
  <c r="AS19" i="1"/>
  <c r="J21" i="6"/>
  <c r="K22" i="6"/>
  <c r="L22" i="6"/>
  <c r="N22" i="6" s="1"/>
  <c r="I17" i="6"/>
  <c r="AX17" i="1" s="1"/>
  <c r="R17" i="6"/>
  <c r="AW17" i="1"/>
  <c r="H17" i="6"/>
  <c r="F17" i="6"/>
  <c r="C17" i="6"/>
  <c r="E17" i="6"/>
  <c r="AS17" i="1"/>
  <c r="AQ17" i="1"/>
  <c r="G17" i="6"/>
  <c r="AR17" i="1" s="1"/>
  <c r="L14" i="6"/>
  <c r="N14" i="6" s="1"/>
  <c r="J14" i="6" s="1"/>
  <c r="K14" i="6"/>
  <c r="K20" i="6"/>
  <c r="L20" i="6"/>
  <c r="N20" i="6" s="1"/>
  <c r="J20" i="6" s="1"/>
  <c r="K13" i="6"/>
  <c r="L13" i="6"/>
  <c r="N13" i="6" s="1"/>
  <c r="J13" i="6" s="1"/>
  <c r="L16" i="6"/>
  <c r="N16" i="6" s="1"/>
  <c r="J16" i="6" s="1"/>
  <c r="K16" i="6"/>
  <c r="AA14" i="6"/>
  <c r="AY14" i="1"/>
  <c r="AA19" i="6"/>
  <c r="AY19" i="1"/>
  <c r="T17" i="6"/>
  <c r="L19" i="6"/>
  <c r="N19" i="6" s="1"/>
  <c r="K19" i="6"/>
  <c r="L18" i="6"/>
  <c r="N18" i="6" s="1"/>
  <c r="K18" i="6"/>
  <c r="L23" i="6"/>
  <c r="N23" i="6" s="1"/>
  <c r="J23" i="6" s="1"/>
  <c r="K23" i="6"/>
  <c r="AA20" i="6"/>
  <c r="AY20" i="1"/>
  <c r="AY11" i="1"/>
  <c r="AA11" i="6"/>
  <c r="Q11" i="6"/>
  <c r="Q19" i="6"/>
  <c r="Q14" i="6"/>
  <c r="AY22" i="1"/>
  <c r="AA22" i="6"/>
  <c r="I15" i="6"/>
  <c r="AX15" i="1" s="1"/>
  <c r="Q15" i="6" s="1"/>
  <c r="C15" i="6"/>
  <c r="H15" i="6"/>
  <c r="T15" i="6"/>
  <c r="F15" i="6"/>
  <c r="G15" i="6"/>
  <c r="AR15" i="1" s="1"/>
  <c r="AW15" i="1"/>
  <c r="R15" i="6"/>
  <c r="E15" i="6"/>
  <c r="AQ15" i="1"/>
  <c r="AS15" i="1"/>
  <c r="D7" i="6"/>
  <c r="G7" i="1"/>
  <c r="D6" i="6"/>
  <c r="P7" i="6"/>
  <c r="P6" i="6"/>
  <c r="T6" i="6"/>
  <c r="D4" i="6"/>
  <c r="P4" i="6"/>
  <c r="D5" i="6"/>
  <c r="P5" i="6"/>
  <c r="J18" i="6" l="1"/>
  <c r="J19" i="6"/>
  <c r="J22" i="6"/>
  <c r="K11" i="6"/>
  <c r="L11" i="6"/>
  <c r="N11" i="6" s="1"/>
  <c r="J11" i="6" s="1"/>
  <c r="AA16" i="6"/>
  <c r="AY16" i="1"/>
  <c r="Q16" i="6"/>
  <c r="Q18" i="6"/>
  <c r="AY18" i="1"/>
  <c r="AA18" i="6"/>
  <c r="L15" i="6"/>
  <c r="N15" i="6" s="1"/>
  <c r="J15" i="6" s="1"/>
  <c r="K15" i="6"/>
  <c r="AY17" i="1"/>
  <c r="AA17" i="6"/>
  <c r="Q17" i="6"/>
  <c r="L17" i="6"/>
  <c r="N17" i="6" s="1"/>
  <c r="J17" i="6" s="1"/>
  <c r="K17" i="6"/>
  <c r="AY15" i="1"/>
  <c r="AA15" i="6"/>
  <c r="R7" i="6"/>
  <c r="AS7" i="1"/>
  <c r="E7" i="6"/>
  <c r="C7" i="6"/>
  <c r="T7" i="6"/>
  <c r="F7" i="6" s="1"/>
  <c r="F6" i="6"/>
  <c r="AW6" i="1" s="1"/>
  <c r="AS6" i="1"/>
  <c r="E6" i="6"/>
  <c r="AQ6" i="1"/>
  <c r="R6" i="6"/>
  <c r="C6" i="6"/>
  <c r="C5" i="6"/>
  <c r="T5" i="6"/>
  <c r="AQ5" i="1" s="1"/>
  <c r="E5" i="6"/>
  <c r="R5" i="6"/>
  <c r="AS5" i="1"/>
  <c r="I10" i="5"/>
  <c r="I13" i="5"/>
  <c r="I11" i="5"/>
  <c r="I9" i="5"/>
  <c r="T4" i="6"/>
  <c r="C4" i="6"/>
  <c r="E4" i="6"/>
  <c r="AS4" i="1"/>
  <c r="I8" i="5"/>
  <c r="R4" i="6"/>
  <c r="I3" i="5"/>
  <c r="I12" i="5"/>
  <c r="I6" i="5"/>
  <c r="I14" i="5"/>
  <c r="I7" i="5"/>
  <c r="I15" i="5"/>
  <c r="I4" i="5"/>
  <c r="I5" i="5"/>
  <c r="E4" i="11"/>
  <c r="F4" i="11"/>
  <c r="E4" i="12"/>
  <c r="F4" i="12"/>
  <c r="C13" i="11" l="1"/>
  <c r="C13" i="12"/>
  <c r="AQ4" i="1"/>
  <c r="L4" i="6" s="1"/>
  <c r="N4" i="6" s="1"/>
  <c r="F4" i="6"/>
  <c r="AW4" i="1" s="1"/>
  <c r="AQ7" i="1"/>
  <c r="G7" i="6" s="1"/>
  <c r="AR7" i="1" s="1"/>
  <c r="AW7" i="1"/>
  <c r="L6" i="6"/>
  <c r="N6" i="6" s="1"/>
  <c r="H6" i="6" s="1"/>
  <c r="I6" i="6" s="1"/>
  <c r="AX6" i="1" s="1"/>
  <c r="G6" i="6"/>
  <c r="AR6" i="1" s="1"/>
  <c r="F5" i="6"/>
  <c r="AW5" i="1" s="1"/>
  <c r="BH3" i="5"/>
  <c r="O12" i="3" s="1"/>
  <c r="L5" i="6"/>
  <c r="N5" i="6" s="1"/>
  <c r="G5" i="6"/>
  <c r="AR5" i="1" s="1"/>
  <c r="BG3" i="5"/>
  <c r="U12" i="3" s="1"/>
  <c r="H4" i="6" l="1"/>
  <c r="I4" i="6" s="1"/>
  <c r="G4" i="6"/>
  <c r="AR4" i="1" s="1"/>
  <c r="H5" i="6"/>
  <c r="I5" i="6" s="1"/>
  <c r="AX5" i="1" s="1"/>
  <c r="AA5" i="6" s="1"/>
  <c r="L7" i="6"/>
  <c r="N7" i="6" s="1"/>
  <c r="J7" i="6" s="1"/>
  <c r="K7" i="6"/>
  <c r="AY6" i="1"/>
  <c r="AA6" i="6"/>
  <c r="Q6" i="6"/>
  <c r="J6" i="6"/>
  <c r="K6" i="6" s="1"/>
  <c r="J5" i="6"/>
  <c r="K5" i="6" s="1"/>
  <c r="J4" i="6" l="1"/>
  <c r="K4" i="6" s="1"/>
  <c r="AX4" i="1" s="1"/>
  <c r="AY4" i="1" s="1"/>
  <c r="H7" i="6"/>
  <c r="I7" i="6" s="1"/>
  <c r="AX7" i="1" s="1"/>
  <c r="AA7" i="6" s="1"/>
  <c r="E8" i="11"/>
  <c r="D9" i="11"/>
  <c r="Q5" i="6"/>
  <c r="AY5" i="1"/>
  <c r="D11" i="11"/>
  <c r="C7" i="11"/>
  <c r="E10" i="11"/>
  <c r="E12" i="11"/>
  <c r="AA4" i="6" l="1"/>
  <c r="Q4" i="6"/>
  <c r="B19" i="3"/>
  <c r="AY7" i="1"/>
  <c r="H15" i="5" s="1"/>
  <c r="J4" i="3" s="1"/>
  <c r="Q7" i="6"/>
  <c r="E7" i="13"/>
  <c r="C8" i="13"/>
  <c r="H10" i="5"/>
  <c r="H12" i="3" s="1"/>
  <c r="C12" i="13"/>
  <c r="C10" i="13"/>
  <c r="B9" i="13"/>
  <c r="H5" i="5" l="1"/>
  <c r="B10" i="3" s="1"/>
  <c r="P14" i="7"/>
  <c r="P9" i="7"/>
  <c r="M16" i="7"/>
  <c r="D9" i="12"/>
  <c r="E8" i="12"/>
  <c r="H9" i="5"/>
  <c r="H10" i="3" s="1"/>
  <c r="H12" i="5"/>
  <c r="D4" i="3" s="1"/>
  <c r="L15" i="7"/>
  <c r="H11" i="5"/>
  <c r="B4" i="3" s="1"/>
  <c r="I7" i="7"/>
  <c r="N10" i="7"/>
  <c r="F9" i="7"/>
  <c r="N9" i="7"/>
  <c r="O13" i="7"/>
  <c r="K18" i="7"/>
  <c r="Q13" i="7"/>
  <c r="N6" i="7"/>
  <c r="O11" i="7"/>
  <c r="J13" i="7"/>
  <c r="J12" i="7"/>
  <c r="P8" i="7"/>
  <c r="J15" i="7"/>
  <c r="L16" i="7"/>
  <c r="F8" i="7"/>
  <c r="R8" i="7"/>
  <c r="R15" i="7"/>
  <c r="L14" i="7"/>
  <c r="E8" i="7"/>
  <c r="N8" i="7"/>
  <c r="R6" i="7"/>
  <c r="O6" i="7"/>
  <c r="L11" i="7"/>
  <c r="E12" i="7"/>
  <c r="G10" i="7"/>
  <c r="O7" i="7"/>
  <c r="I9" i="7"/>
  <c r="P13" i="7"/>
  <c r="H3" i="5"/>
  <c r="B6" i="3" s="1"/>
  <c r="H7" i="5"/>
  <c r="H6" i="3" s="1"/>
  <c r="E10" i="7"/>
  <c r="J18" i="7"/>
  <c r="H8" i="5"/>
  <c r="H8" i="3" s="1"/>
  <c r="H4" i="5"/>
  <c r="B8" i="3" s="1"/>
  <c r="H13" i="5"/>
  <c r="F4" i="3" s="1"/>
  <c r="H14" i="5"/>
  <c r="H4" i="3" s="1"/>
  <c r="L10" i="7"/>
  <c r="R13" i="7"/>
  <c r="H18" i="7"/>
  <c r="G16" i="7"/>
  <c r="O9" i="7"/>
  <c r="O10" i="7"/>
  <c r="I18" i="7"/>
  <c r="O12" i="7"/>
  <c r="N15" i="7"/>
  <c r="M18" i="7"/>
  <c r="E7" i="7"/>
  <c r="O8" i="7"/>
  <c r="R18" i="7"/>
  <c r="E11" i="7"/>
  <c r="H17" i="7"/>
  <c r="J9" i="7"/>
  <c r="F11" i="7"/>
  <c r="G11" i="7"/>
  <c r="P12" i="7"/>
  <c r="H6" i="5"/>
  <c r="B12" i="3" s="1"/>
  <c r="Q18" i="7"/>
  <c r="I16" i="7"/>
  <c r="F15" i="7"/>
  <c r="Q14" i="7"/>
  <c r="G9" i="7"/>
  <c r="E9" i="7"/>
  <c r="R14" i="7"/>
  <c r="G7" i="7"/>
  <c r="I17" i="7"/>
  <c r="N18" i="7"/>
  <c r="K9" i="7"/>
  <c r="O16" i="7"/>
  <c r="G15" i="7"/>
  <c r="I14" i="7"/>
  <c r="F17" i="7"/>
  <c r="F14" i="7"/>
  <c r="F16" i="7"/>
  <c r="R16" i="7"/>
  <c r="Q8" i="7"/>
  <c r="E18" i="7"/>
  <c r="Q10" i="7"/>
  <c r="K10" i="7"/>
  <c r="H9" i="7"/>
  <c r="Q15" i="7"/>
  <c r="I8" i="7"/>
  <c r="J17" i="7"/>
  <c r="P15" i="7"/>
  <c r="K11" i="7"/>
  <c r="F10" i="7"/>
  <c r="N17" i="7"/>
  <c r="F18" i="7"/>
  <c r="R12" i="7"/>
  <c r="K14" i="7"/>
  <c r="Q9" i="7"/>
  <c r="J14" i="7"/>
  <c r="H6" i="7"/>
  <c r="Q6" i="7"/>
  <c r="O18" i="7"/>
  <c r="H11" i="7"/>
  <c r="I13" i="7"/>
  <c r="P17" i="7"/>
  <c r="N14" i="7"/>
  <c r="M14" i="7"/>
  <c r="H16" i="7"/>
  <c r="P6" i="7"/>
  <c r="J16" i="7"/>
  <c r="G18" i="7"/>
  <c r="M9" i="7"/>
  <c r="M13" i="7"/>
  <c r="H15" i="7"/>
  <c r="F13" i="7"/>
  <c r="K7" i="7"/>
  <c r="M12" i="7"/>
  <c r="I11" i="7"/>
  <c r="N7" i="7"/>
  <c r="L17" i="7"/>
  <c r="K17" i="7"/>
  <c r="M10" i="7"/>
  <c r="H12" i="7"/>
  <c r="H13" i="7"/>
  <c r="H8" i="7"/>
  <c r="L7" i="7"/>
  <c r="P11" i="7"/>
  <c r="N16" i="7"/>
  <c r="L6" i="7"/>
  <c r="Q12" i="7"/>
  <c r="N13" i="7"/>
  <c r="J10" i="7"/>
  <c r="L18" i="7"/>
  <c r="R11" i="7"/>
  <c r="K12" i="7"/>
  <c r="E13" i="7"/>
  <c r="Q17" i="7"/>
  <c r="K8" i="7"/>
  <c r="G17" i="7"/>
  <c r="M6" i="7"/>
  <c r="N11" i="7"/>
  <c r="I6" i="7"/>
  <c r="P18" i="7"/>
  <c r="M15" i="7"/>
  <c r="O15" i="7"/>
  <c r="K6" i="7"/>
  <c r="J7" i="7"/>
  <c r="K16" i="7"/>
  <c r="H7" i="7"/>
  <c r="I12" i="7"/>
  <c r="E15" i="7"/>
  <c r="Q7" i="7"/>
  <c r="F7" i="7"/>
  <c r="P16" i="7"/>
  <c r="J11" i="7"/>
  <c r="Q11" i="7"/>
  <c r="L13" i="7"/>
  <c r="L9" i="7"/>
  <c r="Q16" i="7"/>
  <c r="E6" i="7"/>
  <c r="P10" i="7"/>
  <c r="J6" i="7"/>
  <c r="L8" i="7"/>
  <c r="M7" i="7"/>
  <c r="G12" i="7"/>
  <c r="L12" i="7"/>
  <c r="H10" i="7"/>
  <c r="G14" i="7"/>
  <c r="I10" i="7"/>
  <c r="R7" i="7"/>
  <c r="R10" i="7"/>
  <c r="H14" i="7"/>
  <c r="R17" i="7"/>
  <c r="E14" i="7"/>
  <c r="F6" i="7"/>
  <c r="J8" i="7"/>
  <c r="G8" i="7"/>
  <c r="I15" i="7"/>
  <c r="O14" i="7"/>
  <c r="M17" i="7"/>
  <c r="P7" i="7"/>
  <c r="M8" i="7"/>
  <c r="M11" i="7"/>
  <c r="K13" i="7"/>
  <c r="E17" i="7"/>
  <c r="F12" i="7"/>
  <c r="R9" i="7"/>
  <c r="G6" i="7"/>
  <c r="K15" i="7"/>
  <c r="O17" i="7"/>
  <c r="E16" i="7"/>
  <c r="G13" i="7"/>
  <c r="N12" i="7"/>
  <c r="E10" i="12"/>
  <c r="D11" i="12"/>
  <c r="C7" i="12"/>
  <c r="C16" i="7" l="1"/>
  <c r="G19" i="7"/>
  <c r="D17" i="7"/>
  <c r="D10" i="7"/>
  <c r="D13" i="7"/>
  <c r="H19" i="7"/>
  <c r="D18" i="7"/>
  <c r="D8" i="7"/>
  <c r="C18" i="7"/>
  <c r="D15" i="7"/>
  <c r="D14" i="7"/>
  <c r="M19" i="7"/>
  <c r="C7" i="7"/>
  <c r="C11" i="7"/>
  <c r="C9" i="7"/>
  <c r="C13" i="7"/>
  <c r="C17" i="7"/>
  <c r="D12" i="7"/>
  <c r="C15" i="7"/>
  <c r="E19" i="7"/>
  <c r="R19" i="7"/>
  <c r="J19" i="7"/>
  <c r="D9" i="7"/>
  <c r="D16" i="7"/>
  <c r="K19" i="7"/>
  <c r="I19" i="7"/>
  <c r="Q19" i="7"/>
  <c r="C10" i="7"/>
  <c r="P19" i="7"/>
  <c r="C6" i="7"/>
  <c r="C14" i="7"/>
  <c r="D6" i="7"/>
  <c r="D7" i="7"/>
  <c r="C12" i="7"/>
  <c r="F19" i="7"/>
  <c r="O19" i="7"/>
  <c r="N19" i="7"/>
  <c r="L19" i="7"/>
  <c r="C8" i="7"/>
  <c r="D11" i="7"/>
  <c r="D19" i="7" l="1"/>
  <c r="C19" i="7"/>
</calcChain>
</file>

<file path=xl/sharedStrings.xml><?xml version="1.0" encoding="utf-8"?>
<sst xmlns="http://schemas.openxmlformats.org/spreadsheetml/2006/main" count="329" uniqueCount="223">
  <si>
    <t>LE-/Lizenz-Nachweis</t>
  </si>
  <si>
    <t>Lehrgangs-Nachweis</t>
  </si>
  <si>
    <t>Anzahl der Prüfungsfächer</t>
  </si>
  <si>
    <t>Anzahl der Prüfer</t>
  </si>
  <si>
    <t>Neuer Grad</t>
  </si>
  <si>
    <t>Lfd. Nr.</t>
  </si>
  <si>
    <t>Name, Vorname</t>
  </si>
  <si>
    <t>Verein</t>
  </si>
  <si>
    <t>geb. am</t>
  </si>
  <si>
    <t>Grad</t>
  </si>
  <si>
    <t>Bewertung:</t>
  </si>
  <si>
    <t>Unterschriften</t>
  </si>
  <si>
    <t>Datum</t>
  </si>
  <si>
    <t>Prüfungsliste für Kyu- und Dan-Prüfungen</t>
  </si>
  <si>
    <t>Erste Hilfe</t>
  </si>
  <si>
    <t>Notwehr/Nothilfe</t>
  </si>
  <si>
    <t>Mindestpunktzahl alle Prüfer</t>
  </si>
  <si>
    <t>5 = sehr gut</t>
  </si>
  <si>
    <t>4 = gut</t>
  </si>
  <si>
    <t>3 = ausreichend</t>
  </si>
  <si>
    <t>2 = mangelhaft</t>
  </si>
  <si>
    <t>1 = ungenügend (nicht bestanden)</t>
  </si>
  <si>
    <t>1. Dan</t>
  </si>
  <si>
    <t>2. Dan</t>
  </si>
  <si>
    <t>3. Dan</t>
  </si>
  <si>
    <t>4. Dan</t>
  </si>
  <si>
    <t>6.I Kyu</t>
  </si>
  <si>
    <t>5. Kyu</t>
  </si>
  <si>
    <t>5.I Kyu</t>
  </si>
  <si>
    <t>4. Kyu</t>
  </si>
  <si>
    <t>4.I Kyu</t>
  </si>
  <si>
    <t>3. Kyu</t>
  </si>
  <si>
    <t>2. Kyu</t>
  </si>
  <si>
    <t>1. Kyu</t>
  </si>
  <si>
    <t>5. Dan</t>
  </si>
  <si>
    <t>6. Kyu</t>
  </si>
  <si>
    <t>Prüfungsbericht</t>
  </si>
  <si>
    <t>Die Prüfung haben bestanden:</t>
  </si>
  <si>
    <t>weiß-gelb</t>
  </si>
  <si>
    <t>gelb</t>
  </si>
  <si>
    <t>gelb-orange</t>
  </si>
  <si>
    <t>orange</t>
  </si>
  <si>
    <t>orange-grün</t>
  </si>
  <si>
    <t>grün</t>
  </si>
  <si>
    <t>blau</t>
  </si>
  <si>
    <t>braun</t>
  </si>
  <si>
    <t>Prüflinge haben nicht bestanden</t>
  </si>
  <si>
    <t>Welche Mängel wurden festgestellt:</t>
  </si>
  <si>
    <t>Vorschläge/Bemerkungen der Prüfer:</t>
  </si>
  <si>
    <t>Unterschrift des/der Prüfer/s</t>
  </si>
  <si>
    <t>Deutscher Ju-Jutsu Verband e.V.</t>
  </si>
  <si>
    <t>Prüfungsliste</t>
  </si>
  <si>
    <t>Datum:</t>
  </si>
  <si>
    <t>Beginn:</t>
  </si>
  <si>
    <t>Uhr</t>
  </si>
  <si>
    <t>Ende:</t>
  </si>
  <si>
    <t>Ausrichter:</t>
  </si>
  <si>
    <t>Ort der Prüfung:</t>
  </si>
  <si>
    <t>. Dan</t>
  </si>
  <si>
    <t>Anzahl der Prüfer:</t>
  </si>
  <si>
    <t>Namen der Prüfer:</t>
  </si>
  <si>
    <t>Vermerke usw. des Landesverbandes:</t>
  </si>
  <si>
    <t>Prüfung Nr.</t>
  </si>
  <si>
    <t>Anmeldung am:</t>
  </si>
  <si>
    <t>durch:</t>
  </si>
  <si>
    <t>Mit der Zusendung der Prüfungslisten, der eingetragenen Prüfungsnummer und der Prüfungsunterlagen gilt die angemeldete Prüfung als genehmigt.</t>
  </si>
  <si>
    <t>Zugesandte Prüfungsunterlagen:</t>
  </si>
  <si>
    <t>Mindestalter</t>
  </si>
  <si>
    <t>Vorbereitungszeit</t>
  </si>
  <si>
    <t>angestrebter Grad</t>
  </si>
  <si>
    <t>angestrebter Kindergrad</t>
  </si>
  <si>
    <t>Letzte Prüfung bzw. Ju-Jutsu seit Datum</t>
  </si>
  <si>
    <t>2 Prüfer: Punkte 2. Liste</t>
  </si>
  <si>
    <t>3 Prüfer: Bestanden 2. Liste</t>
  </si>
  <si>
    <t>3 Prüfer: Bestanden 3.  Liste</t>
  </si>
  <si>
    <t>Punkte alle Prüfer</t>
  </si>
  <si>
    <t>Bestanden (B/NB)</t>
  </si>
  <si>
    <t>Punkte diese Liste</t>
  </si>
  <si>
    <t>Kinderprüfungmöglich</t>
  </si>
  <si>
    <t>Kinderprüfungshöchstalter</t>
  </si>
  <si>
    <t>Mindestalter erreicht</t>
  </si>
  <si>
    <t>Toleranz in Tagen</t>
  </si>
  <si>
    <t>Angestr. Grad</t>
  </si>
  <si>
    <t>Mindestpunktzahl</t>
  </si>
  <si>
    <t>Alle Punkte vergeben?</t>
  </si>
  <si>
    <t>Eintragungen listenübergreifend vollständig?</t>
  </si>
  <si>
    <t>B</t>
  </si>
  <si>
    <t>NB</t>
  </si>
  <si>
    <t>Ergebnis erster Prüfer</t>
  </si>
  <si>
    <t>Ergebnis alle Prüfer</t>
  </si>
  <si>
    <t>Vorbereitungszeit erreicht</t>
  </si>
  <si>
    <t>Toleranz in Prozent</t>
  </si>
  <si>
    <t>Vorbereitungszeit - Toleranz</t>
  </si>
  <si>
    <t>Bestanden/nicht Bestanden</t>
  </si>
  <si>
    <t xml:space="preserve"> Kyu-Prüfung</t>
  </si>
  <si>
    <t xml:space="preserve"> Dan-Prüfung</t>
  </si>
  <si>
    <t xml:space="preserve">   Kyu-/Dan-Marken + Urkunden</t>
  </si>
  <si>
    <t xml:space="preserve">   Kindermarken + Urkunden</t>
  </si>
  <si>
    <t xml:space="preserve">   Prüfungsliste/n</t>
  </si>
  <si>
    <t>Anzahl bestanden laut Liste</t>
  </si>
  <si>
    <t>Anzahl Angestrebt laut Liste</t>
  </si>
  <si>
    <t>Danprüfung</t>
  </si>
  <si>
    <t>Für die Durchführung der Prüfung gilt die Prüfungsordnung des DJJV in der jeweils aktuellen Fassung.</t>
  </si>
  <si>
    <t>Kann nicht mehr bestehen</t>
  </si>
  <si>
    <t>Kann nicht mehr bestehen wegen 1 Punkt</t>
  </si>
  <si>
    <t>Kann nicht mehr bestehen wegen Kata</t>
  </si>
  <si>
    <t>Version</t>
  </si>
  <si>
    <t>Änderungen</t>
  </si>
  <si>
    <t>Summe</t>
  </si>
  <si>
    <t>Altersklassen</t>
  </si>
  <si>
    <t>Altersstufe</t>
  </si>
  <si>
    <t>Bestanden</t>
  </si>
  <si>
    <t>Alter</t>
  </si>
  <si>
    <t>GradAStufeBestanden</t>
  </si>
  <si>
    <t>Prüfungsstatistik</t>
  </si>
  <si>
    <t>Gürtelfarbe</t>
  </si>
  <si>
    <t>Kyu-/Dangrad</t>
  </si>
  <si>
    <t>6.</t>
  </si>
  <si>
    <t>5.</t>
  </si>
  <si>
    <t>4.</t>
  </si>
  <si>
    <t>3.</t>
  </si>
  <si>
    <t>2.</t>
  </si>
  <si>
    <t>1.</t>
  </si>
  <si>
    <t>Zusatz</t>
  </si>
  <si>
    <t>gelbem Streifen</t>
  </si>
  <si>
    <t>orangem Streifen</t>
  </si>
  <si>
    <t>grünem Streifen</t>
  </si>
  <si>
    <t>weißen</t>
  </si>
  <si>
    <t>gelben</t>
  </si>
  <si>
    <t>orangen</t>
  </si>
  <si>
    <t>grünen</t>
  </si>
  <si>
    <t>blauen</t>
  </si>
  <si>
    <t>braunen</t>
  </si>
  <si>
    <t>schwarzen</t>
  </si>
  <si>
    <t>Urkundenart</t>
  </si>
  <si>
    <t>J</t>
  </si>
  <si>
    <t>K</t>
  </si>
  <si>
    <t>D</t>
  </si>
  <si>
    <t>Formatierter Name</t>
  </si>
  <si>
    <r>
      <rPr>
        <b/>
        <sz val="10"/>
        <rFont val="Arial"/>
        <family val="2"/>
      </rPr>
      <t>Anleitung:</t>
    </r>
    <r>
      <rPr>
        <sz val="10"/>
        <rFont val="Arial"/>
        <family val="2"/>
      </rPr>
      <t xml:space="preserve">
Gib die Nummer des Prüflings ein, dessen Urkunde gedruckt werden soll.
Verwende das Tabellenblatt "</t>
    </r>
    <r>
      <rPr>
        <b/>
        <sz val="10"/>
        <rFont val="Arial"/>
        <family val="2"/>
      </rPr>
      <t>Jugendurkunde</t>
    </r>
    <r>
      <rPr>
        <sz val="10"/>
        <rFont val="Arial"/>
        <family val="2"/>
      </rPr>
      <t xml:space="preserve">" nur für </t>
    </r>
    <r>
      <rPr>
        <b/>
        <sz val="10"/>
        <rFont val="Arial"/>
        <family val="2"/>
      </rPr>
      <t xml:space="preserve">Zwischenprüfungen.
</t>
    </r>
    <r>
      <rPr>
        <sz val="10"/>
        <rFont val="Arial"/>
        <family val="2"/>
      </rPr>
      <t xml:space="preserve">Für Kyu- und für Dan-Prüfungen verwende das jeweilige andere Tabellenblatt.
WICHTIG: Jeder Drucker druckt ein wenig anders, zudem ändert der DJJV ab und zu mal das genaue Format der Urkunden.
</t>
    </r>
    <r>
      <rPr>
        <b/>
        <sz val="10"/>
        <color indexed="10"/>
        <rFont val="Arial"/>
        <family val="2"/>
      </rPr>
      <t>Mache deshalb immer zuerst einen Probedruck auf weißem Papier, bevor Du auf eine Urkunde druckst.</t>
    </r>
    <r>
      <rPr>
        <sz val="10"/>
        <rFont val="Arial"/>
        <family val="2"/>
      </rPr>
      <t xml:space="preserve">
Wenn Du das Papier auf eine Urkunde legst und beides gegen das Licht hältst, kannst Du erkennen, ob die Positionen des Gedruckten richtig sind.
Falls nicht, verschiebe vorsichtig die Spaltenbreiten (ab Spalte B) und Zeilenhöhen (ab Zeile 6), bis es passt.</t>
    </r>
  </si>
  <si>
    <t>Lfd. Nr. in der Prüfungsliste:</t>
  </si>
  <si>
    <r>
      <rPr>
        <b/>
        <sz val="10"/>
        <rFont val="Arial"/>
        <family val="2"/>
      </rPr>
      <t>Anleitung:</t>
    </r>
    <r>
      <rPr>
        <sz val="10"/>
        <rFont val="Arial"/>
        <family val="2"/>
      </rPr>
      <t xml:space="preserve">
Gib die Nummer des Prüflings ein, dessen Urkunde gedruckt werden soll.
Verwende das Tabellenblatt </t>
    </r>
    <r>
      <rPr>
        <b/>
        <sz val="10"/>
        <rFont val="Arial"/>
        <family val="2"/>
      </rPr>
      <t>Kyuurkunde</t>
    </r>
    <r>
      <rPr>
        <sz val="10"/>
        <rFont val="Arial"/>
        <family val="2"/>
      </rPr>
      <t xml:space="preserve">" nur für </t>
    </r>
    <r>
      <rPr>
        <b/>
        <sz val="10"/>
        <rFont val="Arial"/>
        <family val="2"/>
      </rPr>
      <t xml:space="preserve">Kyuprüfungen (auch bei Kindern).
</t>
    </r>
    <r>
      <rPr>
        <sz val="10"/>
        <rFont val="Arial"/>
        <family val="2"/>
      </rPr>
      <t xml:space="preserve">Für Zwischen- und für Dan-Prüfungen verwende das jeweilige andere Tabellenblatt.
WICHTIG: Jeder Drucker druckt ein wenig anders, zudem ändert der DJJV ab und zu mal das genaue Format der Urkunden.
</t>
    </r>
    <r>
      <rPr>
        <b/>
        <sz val="10"/>
        <color indexed="10"/>
        <rFont val="Arial"/>
        <family val="2"/>
      </rPr>
      <t>Mache deshalb immer zuerst einen Probedruck auf weißem Papier, bevor Du auf eine Urkunde druckst.</t>
    </r>
    <r>
      <rPr>
        <sz val="10"/>
        <rFont val="Arial"/>
        <family val="2"/>
      </rPr>
      <t xml:space="preserve">
Wenn Du das Papier auf eine Urkunde legst und beides gegen das Licht hältst, kannst Du erkennen, ob die Positionen des Gedruckten richtig sind.
Falls nicht, verschiebe vorsichtig die Spaltenbreiten (ab Spalte B) und Zeilenhöhen (ab Zeile 6), bis es passt.</t>
    </r>
  </si>
  <si>
    <r>
      <rPr>
        <b/>
        <sz val="10"/>
        <rFont val="Arial"/>
        <family val="2"/>
      </rPr>
      <t>Anleitung:</t>
    </r>
    <r>
      <rPr>
        <sz val="10"/>
        <rFont val="Arial"/>
        <family val="2"/>
      </rPr>
      <t xml:space="preserve">
Gib die Nummer des Prüflings ein, dessen Urkunde gedruckt werden soll.
Verwende das Tabellenblatt "</t>
    </r>
    <r>
      <rPr>
        <b/>
        <sz val="10"/>
        <rFont val="Arial"/>
        <family val="2"/>
      </rPr>
      <t>Danurkunde</t>
    </r>
    <r>
      <rPr>
        <sz val="10"/>
        <rFont val="Arial"/>
        <family val="2"/>
      </rPr>
      <t xml:space="preserve">" nur für </t>
    </r>
    <r>
      <rPr>
        <b/>
        <sz val="10"/>
        <rFont val="Arial"/>
        <family val="2"/>
      </rPr>
      <t xml:space="preserve">Danprüfungen.
</t>
    </r>
    <r>
      <rPr>
        <sz val="10"/>
        <rFont val="Arial"/>
        <family val="2"/>
      </rPr>
      <t xml:space="preserve">Für Zwischen- und für Kyu-Prüfungen verwende das jeweilige andere Tabellenblatt.
WICHTIG: Jeder Drucker druckt ein wenig anders, zudem ändert der DJJV ab und zu mal das genaue Format der Urkunden.
</t>
    </r>
    <r>
      <rPr>
        <b/>
        <sz val="10"/>
        <color indexed="10"/>
        <rFont val="Arial"/>
        <family val="2"/>
      </rPr>
      <t>Mache deshalb immer zuerst einen Probedruck auf weißem Papier, bevor Du auf eine Urkunde druckst.</t>
    </r>
    <r>
      <rPr>
        <sz val="10"/>
        <rFont val="Arial"/>
        <family val="2"/>
      </rPr>
      <t xml:space="preserve">
Wenn Du das Papier auf eine Urkunde legst und beides gegen das Licht hältst, kannst Du erkennen, ob die Positionen des Gedruckten richtig sind.
Falls nicht, verschiebe vorsichtig die Spaltenbreiten (ab Spalte B) und Zeilenhöhen (ab Zeile 6), bis es passt.</t>
    </r>
  </si>
  <si>
    <t>Lfd. Nr. i. d. P'liste:</t>
  </si>
  <si>
    <t>für Jiu-Jitsu Kyu- bzw. Dan-Prüfungen</t>
  </si>
  <si>
    <t>Letzte Prüfung bzw. Jiu-Jitsu seit</t>
  </si>
  <si>
    <t>0.1</t>
  </si>
  <si>
    <t>Arbeitsfassung</t>
  </si>
  <si>
    <t>Kata</t>
  </si>
  <si>
    <t>Durchschnitt</t>
  </si>
  <si>
    <t xml:space="preserve">      Fallschule</t>
  </si>
  <si>
    <t xml:space="preserve">      Ausweichen</t>
  </si>
  <si>
    <t xml:space="preserve">      Blocken </t>
  </si>
  <si>
    <t xml:space="preserve">      Schlage / Stöße</t>
  </si>
  <si>
    <t xml:space="preserve">      Fußtritte</t>
  </si>
  <si>
    <t xml:space="preserve">      Würfe</t>
  </si>
  <si>
    <t xml:space="preserve">      Hebel</t>
  </si>
  <si>
    <t xml:space="preserve">      Würgegriffe</t>
  </si>
  <si>
    <t xml:space="preserve">      Festlegegriffe</t>
  </si>
  <si>
    <t xml:space="preserve">      Transportgriffe</t>
  </si>
  <si>
    <t xml:space="preserve">      Hand-/Armfassen</t>
  </si>
  <si>
    <t xml:space="preserve">      Revers-/Kragenfassen</t>
  </si>
  <si>
    <t xml:space="preserve">      Haare fassen</t>
  </si>
  <si>
    <t xml:space="preserve">      Würgen Stand / Boden</t>
  </si>
  <si>
    <t xml:space="preserve">      Brustumklammerung</t>
  </si>
  <si>
    <t xml:space="preserve">      Kopfumklammerung</t>
  </si>
  <si>
    <t xml:space="preserve">      Nelson</t>
  </si>
  <si>
    <t xml:space="preserve">      Schlag-/Stoßangriffe</t>
  </si>
  <si>
    <t xml:space="preserve">      Fußangriffe</t>
  </si>
  <si>
    <t xml:space="preserve">      Stock</t>
  </si>
  <si>
    <t xml:space="preserve">      Messer</t>
  </si>
  <si>
    <t xml:space="preserve">      Pistole</t>
  </si>
  <si>
    <t xml:space="preserve">      Freie Angriffe</t>
  </si>
  <si>
    <t xml:space="preserve">      Zusatzaktionen</t>
  </si>
  <si>
    <t>Schlüssel</t>
  </si>
  <si>
    <t>5. KyuE</t>
  </si>
  <si>
    <t>4. KyuE</t>
  </si>
  <si>
    <t>3. KyuE</t>
  </si>
  <si>
    <t>2. KyuE</t>
  </si>
  <si>
    <t>1. KyuE</t>
  </si>
  <si>
    <t>1. DanE</t>
  </si>
  <si>
    <t>2. DanE</t>
  </si>
  <si>
    <t>3. DanE</t>
  </si>
  <si>
    <t>4. DanE</t>
  </si>
  <si>
    <t>5. DanE</t>
  </si>
  <si>
    <t>5. KyuJ</t>
  </si>
  <si>
    <t>5.I KyuJ</t>
  </si>
  <si>
    <t>4. KyuJ</t>
  </si>
  <si>
    <t>4.I KyuJ</t>
  </si>
  <si>
    <t>3. KyuJ</t>
  </si>
  <si>
    <t>2. KyuJ</t>
  </si>
  <si>
    <t>5. KyuS</t>
  </si>
  <si>
    <t>4. KyuS</t>
  </si>
  <si>
    <t>3. KyuS</t>
  </si>
  <si>
    <t>2. KyuS</t>
  </si>
  <si>
    <t>1. KyuS</t>
  </si>
  <si>
    <t>1. DanS</t>
  </si>
  <si>
    <t>2. DanS</t>
  </si>
  <si>
    <t>3. DanS</t>
  </si>
  <si>
    <t>4. DanS</t>
  </si>
  <si>
    <t>5. DanS</t>
  </si>
  <si>
    <t>6.I KyuJ</t>
  </si>
  <si>
    <t>6.I KyuE</t>
  </si>
  <si>
    <t>5.I KyuE</t>
  </si>
  <si>
    <t>4.I KyuE</t>
  </si>
  <si>
    <t>1. KyuJ</t>
  </si>
  <si>
    <t>1. DanJ</t>
  </si>
  <si>
    <t>2. DanJ</t>
  </si>
  <si>
    <t>3. DanJ</t>
  </si>
  <si>
    <t>4. DanJ</t>
  </si>
  <si>
    <t>5. DanJ</t>
  </si>
  <si>
    <t>6.I KyuS</t>
  </si>
  <si>
    <t>5.I KyuS</t>
  </si>
  <si>
    <t>4.I KyuS</t>
  </si>
  <si>
    <t>Anzahl der Prüfungsfäc her</t>
  </si>
  <si>
    <t>Kyuprüfungen</t>
  </si>
  <si>
    <t>Danprüfungen</t>
  </si>
  <si>
    <t>© 2025 Jens Dykow</t>
  </si>
  <si>
    <t>1.0</t>
  </si>
  <si>
    <t>Erstveröffentlichung</t>
  </si>
  <si>
    <t>Autor/Rechte: © 2025-2026 Jens Dykow</t>
  </si>
  <si>
    <t>1.1</t>
  </si>
  <si>
    <t>Außenseite: Prüfungsnummer als Text; zahlreiche Eingabefelder auf Außenseite und Urkundendruck als an Textgröße anpassen formatiert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</si>
</sst>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D_M_-;\-* #,##0.00\ _D_M_-;_-* &quot;-&quot;??\ _D_M_-;_-@_-"/>
    <numFmt numFmtId="165" formatCode="d\.m\.yy"/>
    <numFmt numFmtId="166" formatCode="#"/>
    <numFmt numFmtId="167" formatCode="h:mm"/>
    <numFmt numFmtId="168" formatCode="d/m/yy;@"/>
    <numFmt numFmtId="169" formatCode="[$-407]d/\ mmmm\ yyyy;@"/>
  </numFmts>
  <fonts count="31" x14ac:knownFonts="1">
    <font>
      <sz val="10"/>
      <name val="Arial"/>
    </font>
    <font>
      <sz val="10"/>
      <name val="Arial"/>
      <family val="2"/>
    </font>
    <font>
      <sz val="9"/>
      <name val="Arial"/>
      <family val="2"/>
    </font>
    <font>
      <sz val="8"/>
      <name val="Arial"/>
      <family val="2"/>
    </font>
    <font>
      <sz val="10"/>
      <name val="Arial"/>
      <family val="2"/>
    </font>
    <font>
      <b/>
      <sz val="14"/>
      <name val="Tahoma"/>
      <family val="2"/>
    </font>
    <font>
      <sz val="10"/>
      <name val="Tahoma"/>
      <family val="2"/>
    </font>
    <font>
      <b/>
      <u/>
      <sz val="16"/>
      <name val="Tahoma"/>
      <family val="2"/>
    </font>
    <font>
      <b/>
      <sz val="16"/>
      <name val="Tahoma"/>
      <family val="2"/>
    </font>
    <font>
      <sz val="12"/>
      <name val="Tahoma"/>
      <family val="2"/>
    </font>
    <font>
      <b/>
      <sz val="10"/>
      <name val="Tahoma"/>
      <family val="2"/>
    </font>
    <font>
      <b/>
      <sz val="12"/>
      <name val="Tahoma"/>
      <family val="2"/>
    </font>
    <font>
      <sz val="9"/>
      <name val="Tahoma"/>
      <family val="2"/>
    </font>
    <font>
      <sz val="8"/>
      <name val="Tahoma"/>
      <family val="2"/>
    </font>
    <font>
      <b/>
      <sz val="9"/>
      <name val="Tahoma"/>
      <family val="2"/>
    </font>
    <font>
      <sz val="16"/>
      <name val="Tahoma"/>
      <family val="2"/>
    </font>
    <font>
      <b/>
      <u/>
      <sz val="9"/>
      <name val="Tahoma"/>
      <family val="2"/>
    </font>
    <font>
      <i/>
      <sz val="8"/>
      <name val="Tahoma"/>
      <family val="2"/>
    </font>
    <font>
      <sz val="7"/>
      <name val="Tahoma"/>
      <family val="2"/>
    </font>
    <font>
      <sz val="3"/>
      <name val="Tahoma"/>
      <family val="2"/>
    </font>
    <font>
      <b/>
      <sz val="28"/>
      <name val="Tahoma"/>
      <family val="2"/>
    </font>
    <font>
      <sz val="20"/>
      <name val="Tahoma"/>
      <family val="2"/>
    </font>
    <font>
      <b/>
      <sz val="10"/>
      <color indexed="10"/>
      <name val="Arial"/>
      <family val="2"/>
    </font>
    <font>
      <b/>
      <sz val="10"/>
      <name val="Arial"/>
      <family val="2"/>
    </font>
    <font>
      <sz val="20"/>
      <name val="Times New Roman"/>
      <family val="1"/>
    </font>
    <font>
      <b/>
      <sz val="28"/>
      <name val="Times New Roman"/>
      <family val="1"/>
    </font>
    <font>
      <sz val="26"/>
      <name val="Times New Roman"/>
      <family val="1"/>
    </font>
    <font>
      <sz val="10"/>
      <name val="Times New Roman"/>
      <family val="1"/>
    </font>
    <font>
      <sz val="9"/>
      <name val="Times New Roman"/>
      <family val="1"/>
    </font>
    <font>
      <b/>
      <sz val="9"/>
      <name val="Arial"/>
      <family val="2"/>
    </font>
    <font>
      <sz val="10"/>
      <color rgb="FFFF0000"/>
      <name val="Arial"/>
      <family val="2"/>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5">
    <xf numFmtId="0" fontId="0" fillId="0" borderId="0" xfId="0"/>
    <xf numFmtId="0" fontId="2" fillId="0" borderId="0" xfId="0" applyFont="1" applyFill="1" applyBorder="1" applyAlignment="1">
      <alignment textRotation="90"/>
    </xf>
    <xf numFmtId="0" fontId="2" fillId="0" borderId="0" xfId="0" applyNumberFormat="1" applyFont="1" applyFill="1" applyBorder="1" applyAlignment="1">
      <alignment shrinkToFit="1"/>
    </xf>
    <xf numFmtId="165" fontId="2" fillId="0" borderId="0" xfId="0" applyNumberFormat="1" applyFont="1" applyFill="1" applyBorder="1" applyAlignment="1">
      <alignment shrinkToFit="1"/>
    </xf>
    <xf numFmtId="1" fontId="2" fillId="0" borderId="0" xfId="0" applyNumberFormat="1" applyFont="1" applyFill="1" applyBorder="1" applyAlignment="1">
      <alignment shrinkToFit="1"/>
    </xf>
    <xf numFmtId="49" fontId="2" fillId="0" borderId="0" xfId="0" applyNumberFormat="1" applyFont="1" applyFill="1" applyBorder="1" applyAlignment="1">
      <alignment shrinkToFit="1"/>
    </xf>
    <xf numFmtId="0" fontId="2" fillId="0" borderId="0" xfId="0" applyFont="1" applyFill="1" applyBorder="1" applyAlignment="1"/>
    <xf numFmtId="14" fontId="0" fillId="0" borderId="0" xfId="1" applyNumberFormat="1" applyFont="1"/>
    <xf numFmtId="0" fontId="0" fillId="0" borderId="0" xfId="1" applyNumberFormat="1" applyFont="1"/>
    <xf numFmtId="0" fontId="0" fillId="0" borderId="0" xfId="0" applyAlignment="1">
      <alignment wrapText="1"/>
    </xf>
    <xf numFmtId="0" fontId="5" fillId="0" borderId="0" xfId="0" applyFont="1"/>
    <xf numFmtId="0" fontId="6" fillId="0" borderId="0" xfId="0" applyFont="1"/>
    <xf numFmtId="0" fontId="7" fillId="0" borderId="0" xfId="0" applyFont="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2" xfId="0" applyFont="1" applyFill="1" applyBorder="1" applyAlignment="1">
      <alignment horizontal="center" vertical="center"/>
    </xf>
    <xf numFmtId="0" fontId="9" fillId="0" borderId="0" xfId="0" applyFont="1"/>
    <xf numFmtId="0" fontId="10" fillId="0" borderId="0" xfId="0" applyFont="1"/>
    <xf numFmtId="0" fontId="10" fillId="0" borderId="0" xfId="0" applyFont="1" applyAlignment="1">
      <alignment horizontal="right"/>
    </xf>
    <xf numFmtId="0" fontId="6" fillId="0" borderId="0" xfId="0" applyFont="1" applyAlignment="1">
      <alignment horizontal="left"/>
    </xf>
    <xf numFmtId="0" fontId="6" fillId="0" borderId="3" xfId="0" applyFont="1" applyBorder="1"/>
    <xf numFmtId="0" fontId="6" fillId="0" borderId="0" xfId="0" applyFont="1" applyAlignment="1">
      <alignment horizontal="right"/>
    </xf>
    <xf numFmtId="0" fontId="6" fillId="0" borderId="0" xfId="0" applyFont="1" applyAlignment="1">
      <alignment wrapText="1"/>
    </xf>
    <xf numFmtId="0" fontId="10" fillId="0" borderId="4" xfId="0" applyFont="1" applyBorder="1" applyAlignment="1">
      <alignment horizontal="centerContinuous"/>
    </xf>
    <xf numFmtId="0" fontId="10" fillId="0" borderId="5" xfId="0" applyFont="1" applyBorder="1" applyAlignment="1">
      <alignment horizontal="centerContinuous"/>
    </xf>
    <xf numFmtId="0" fontId="6" fillId="0" borderId="6" xfId="0" applyFont="1" applyBorder="1" applyAlignment="1">
      <alignment horizontal="center"/>
    </xf>
    <xf numFmtId="0" fontId="6" fillId="0" borderId="7" xfId="0" applyFont="1" applyBorder="1" applyAlignment="1">
      <alignment horizontal="center"/>
    </xf>
    <xf numFmtId="0" fontId="12" fillId="0" borderId="8" xfId="0" applyFont="1" applyBorder="1"/>
    <xf numFmtId="0" fontId="12" fillId="0" borderId="9" xfId="0" applyNumberFormat="1" applyFont="1" applyBorder="1" applyAlignment="1">
      <alignment horizontal="center" vertical="center" shrinkToFit="1"/>
    </xf>
    <xf numFmtId="0" fontId="14" fillId="0" borderId="10" xfId="0" applyFont="1" applyBorder="1" applyAlignment="1">
      <alignment horizontal="center" vertical="center" shrinkToFit="1"/>
    </xf>
    <xf numFmtId="0" fontId="15" fillId="0" borderId="0" xfId="0" applyFont="1"/>
    <xf numFmtId="0" fontId="12" fillId="0" borderId="11" xfId="0" applyFont="1" applyBorder="1"/>
    <xf numFmtId="0" fontId="12" fillId="0" borderId="11" xfId="0" applyNumberFormat="1" applyFont="1" applyBorder="1" applyAlignment="1">
      <alignment horizontal="center" vertical="center" shrinkToFit="1"/>
    </xf>
    <xf numFmtId="0" fontId="14" fillId="0" borderId="12" xfId="0"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0" xfId="0" applyFont="1" applyBorder="1"/>
    <xf numFmtId="0" fontId="15" fillId="0" borderId="0" xfId="0" applyFont="1" applyBorder="1"/>
    <xf numFmtId="0" fontId="16" fillId="0" borderId="13" xfId="0" applyFont="1" applyBorder="1"/>
    <xf numFmtId="0" fontId="6" fillId="0" borderId="5" xfId="0" applyFont="1" applyBorder="1"/>
    <xf numFmtId="0" fontId="17" fillId="0" borderId="5" xfId="0" applyFont="1" applyBorder="1"/>
    <xf numFmtId="0" fontId="13" fillId="0" borderId="5" xfId="0" applyFont="1" applyBorder="1"/>
    <xf numFmtId="0" fontId="6" fillId="0" borderId="14" xfId="0" applyFont="1" applyBorder="1"/>
    <xf numFmtId="0" fontId="18" fillId="3" borderId="15" xfId="0" applyFont="1" applyFill="1" applyBorder="1" applyAlignment="1" applyProtection="1">
      <alignment horizontal="left"/>
      <protection locked="0"/>
    </xf>
    <xf numFmtId="0" fontId="12" fillId="0" borderId="0" xfId="0" applyFont="1" applyBorder="1"/>
    <xf numFmtId="0" fontId="17" fillId="0" borderId="0" xfId="0" applyFont="1" applyBorder="1"/>
    <xf numFmtId="0" fontId="13" fillId="0" borderId="0" xfId="0" applyFont="1" applyBorder="1"/>
    <xf numFmtId="0" fontId="6" fillId="0" borderId="16" xfId="0" applyFont="1" applyBorder="1"/>
    <xf numFmtId="0" fontId="18" fillId="3" borderId="15" xfId="0" applyNumberFormat="1" applyFont="1" applyFill="1" applyBorder="1" applyAlignment="1" applyProtection="1">
      <alignment horizontal="left"/>
      <protection locked="0"/>
    </xf>
    <xf numFmtId="0" fontId="17" fillId="0" borderId="0" xfId="0" applyFont="1" applyFill="1" applyBorder="1"/>
    <xf numFmtId="0" fontId="13" fillId="0" borderId="0" xfId="0" applyFont="1" applyFill="1" applyBorder="1"/>
    <xf numFmtId="0" fontId="18" fillId="3" borderId="17" xfId="0" applyFont="1" applyFill="1" applyBorder="1" applyAlignment="1" applyProtection="1">
      <alignment horizontal="left"/>
      <protection locked="0"/>
    </xf>
    <xf numFmtId="0" fontId="12" fillId="0" borderId="3" xfId="0" applyFont="1" applyBorder="1"/>
    <xf numFmtId="0" fontId="13" fillId="0" borderId="3" xfId="0" applyFont="1" applyBorder="1"/>
    <xf numFmtId="49" fontId="14" fillId="4" borderId="2" xfId="0" applyNumberFormat="1" applyFont="1" applyFill="1" applyBorder="1" applyAlignment="1" applyProtection="1">
      <alignment horizontal="center" vertical="center" shrinkToFit="1"/>
      <protection locked="0"/>
    </xf>
    <xf numFmtId="0" fontId="12" fillId="4" borderId="2" xfId="0" applyNumberFormat="1" applyFont="1" applyFill="1" applyBorder="1" applyAlignment="1" applyProtection="1">
      <alignment horizontal="center" vertical="center" shrinkToFit="1"/>
      <protection locked="0"/>
    </xf>
    <xf numFmtId="165" fontId="12" fillId="4" borderId="18" xfId="0" applyNumberFormat="1" applyFont="1" applyFill="1" applyBorder="1" applyAlignment="1" applyProtection="1">
      <alignment horizontal="center" vertical="center" shrinkToFit="1"/>
      <protection locked="0"/>
    </xf>
    <xf numFmtId="165" fontId="12" fillId="4" borderId="9" xfId="0" applyNumberFormat="1" applyFont="1" applyFill="1" applyBorder="1" applyAlignment="1" applyProtection="1">
      <alignment horizontal="center" vertical="center" shrinkToFit="1"/>
      <protection locked="0"/>
    </xf>
    <xf numFmtId="49" fontId="12" fillId="4" borderId="2" xfId="0" applyNumberFormat="1" applyFont="1" applyFill="1" applyBorder="1" applyAlignment="1" applyProtection="1">
      <alignment horizontal="center" vertical="center" shrinkToFit="1"/>
      <protection locked="0"/>
    </xf>
    <xf numFmtId="49" fontId="12" fillId="4" borderId="18" xfId="0" applyNumberFormat="1" applyFont="1" applyFill="1" applyBorder="1" applyAlignment="1" applyProtection="1">
      <alignment horizontal="center" vertical="center" shrinkToFit="1"/>
      <protection locked="0"/>
    </xf>
    <xf numFmtId="0" fontId="6" fillId="4" borderId="19" xfId="0" applyNumberFormat="1" applyFont="1" applyFill="1" applyBorder="1" applyAlignment="1" applyProtection="1">
      <alignment horizontal="center" vertical="center" shrinkToFit="1"/>
      <protection locked="0"/>
    </xf>
    <xf numFmtId="0" fontId="6" fillId="4" borderId="20" xfId="0" applyNumberFormat="1" applyFont="1" applyFill="1" applyBorder="1" applyAlignment="1" applyProtection="1">
      <alignment horizontal="center" vertical="center" shrinkToFit="1"/>
      <protection locked="0"/>
    </xf>
    <xf numFmtId="0" fontId="6" fillId="4" borderId="20" xfId="0" applyNumberFormat="1" applyFont="1" applyFill="1" applyBorder="1" applyAlignment="1" applyProtection="1">
      <alignment horizontal="center" vertical="center" wrapText="1" shrinkToFit="1"/>
      <protection locked="0"/>
    </xf>
    <xf numFmtId="0" fontId="6" fillId="4" borderId="20" xfId="0" quotePrefix="1" applyNumberFormat="1" applyFont="1" applyFill="1" applyBorder="1" applyAlignment="1" applyProtection="1">
      <alignment horizontal="center" vertical="center" shrinkToFit="1"/>
      <protection locked="0"/>
    </xf>
    <xf numFmtId="49" fontId="6" fillId="4" borderId="9" xfId="0" applyNumberFormat="1" applyFont="1" applyFill="1" applyBorder="1" applyAlignment="1" applyProtection="1">
      <alignment horizontal="center" vertical="center" shrinkToFit="1"/>
      <protection locked="0"/>
    </xf>
    <xf numFmtId="49" fontId="6" fillId="4" borderId="20" xfId="0" applyNumberFormat="1" applyFont="1" applyFill="1" applyBorder="1" applyAlignment="1" applyProtection="1">
      <alignment horizontal="center" vertical="center" shrinkToFit="1"/>
      <protection locked="0"/>
    </xf>
    <xf numFmtId="49" fontId="6" fillId="4" borderId="21" xfId="0" applyNumberFormat="1" applyFont="1" applyFill="1" applyBorder="1" applyAlignment="1" applyProtection="1">
      <alignment horizontal="center" vertical="center" shrinkToFit="1"/>
      <protection locked="0"/>
    </xf>
    <xf numFmtId="166" fontId="6" fillId="4" borderId="9" xfId="0" applyNumberFormat="1" applyFont="1" applyFill="1" applyBorder="1" applyAlignment="1" applyProtection="1">
      <alignment horizontal="center" vertical="center" shrinkToFit="1"/>
      <protection locked="0"/>
    </xf>
    <xf numFmtId="0" fontId="6" fillId="4" borderId="22" xfId="0" applyNumberFormat="1" applyFont="1" applyFill="1" applyBorder="1" applyAlignment="1" applyProtection="1">
      <alignment horizontal="center" vertical="center" shrinkToFit="1"/>
      <protection locked="0"/>
    </xf>
    <xf numFmtId="0" fontId="6" fillId="4" borderId="2" xfId="0" applyNumberFormat="1" applyFont="1" applyFill="1" applyBorder="1" applyAlignment="1" applyProtection="1">
      <alignment horizontal="center" vertical="center" shrinkToFit="1"/>
      <protection locked="0"/>
    </xf>
    <xf numFmtId="0" fontId="6" fillId="4" borderId="2" xfId="0" applyNumberFormat="1" applyFont="1" applyFill="1" applyBorder="1" applyAlignment="1" applyProtection="1">
      <alignment horizontal="center" vertical="center" wrapText="1" shrinkToFit="1"/>
      <protection locked="0"/>
    </xf>
    <xf numFmtId="0" fontId="6" fillId="4" borderId="2" xfId="0" quotePrefix="1" applyNumberFormat="1"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2" xfId="0" applyNumberFormat="1" applyFont="1" applyFill="1" applyBorder="1" applyAlignment="1" applyProtection="1">
      <alignment horizontal="center" vertical="center" shrinkToFit="1"/>
      <protection locked="0"/>
    </xf>
    <xf numFmtId="49" fontId="6" fillId="4" borderId="18" xfId="0" applyNumberFormat="1" applyFont="1" applyFill="1" applyBorder="1" applyAlignment="1" applyProtection="1">
      <alignment horizontal="center" vertical="center" shrinkToFit="1"/>
      <protection locked="0"/>
    </xf>
    <xf numFmtId="0" fontId="6" fillId="4" borderId="2" xfId="0" quotePrefix="1" applyNumberFormat="1" applyFont="1" applyFill="1" applyBorder="1" applyAlignment="1" applyProtection="1">
      <alignment horizontal="center" vertical="center" wrapText="1" shrinkToFit="1"/>
      <protection locked="0"/>
    </xf>
    <xf numFmtId="166" fontId="12" fillId="4" borderId="20" xfId="0" applyNumberFormat="1" applyFont="1" applyFill="1" applyBorder="1" applyAlignment="1" applyProtection="1">
      <alignment horizontal="center" vertical="center" shrinkToFit="1"/>
      <protection locked="0"/>
    </xf>
    <xf numFmtId="166" fontId="12" fillId="4" borderId="2" xfId="0" applyNumberFormat="1" applyFont="1" applyFill="1" applyBorder="1" applyAlignment="1" applyProtection="1">
      <alignment horizontal="center" vertical="center" shrinkToFit="1"/>
      <protection locked="0"/>
    </xf>
    <xf numFmtId="166" fontId="6" fillId="4" borderId="2" xfId="0" applyNumberFormat="1"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167" fontId="10" fillId="4" borderId="1" xfId="0" applyNumberFormat="1" applyFont="1" applyFill="1" applyBorder="1" applyAlignment="1" applyProtection="1">
      <alignment horizontal="center" shrinkToFit="1"/>
      <protection locked="0"/>
    </xf>
    <xf numFmtId="0" fontId="4" fillId="0" borderId="0" xfId="0" applyFont="1"/>
    <xf numFmtId="0" fontId="4" fillId="0" borderId="0" xfId="0" quotePrefix="1" applyFont="1"/>
    <xf numFmtId="0" fontId="4" fillId="0" borderId="0" xfId="0" quotePrefix="1" applyFont="1" applyAlignment="1"/>
    <xf numFmtId="14" fontId="0" fillId="0" borderId="0" xfId="0" applyNumberFormat="1"/>
    <xf numFmtId="0" fontId="12" fillId="0" borderId="21" xfId="0" applyNumberFormat="1" applyFont="1" applyBorder="1" applyAlignment="1">
      <alignment horizontal="center" vertical="center" shrinkToFit="1"/>
    </xf>
    <xf numFmtId="0" fontId="12" fillId="0" borderId="18" xfId="0" applyNumberFormat="1" applyFont="1" applyBorder="1" applyAlignment="1">
      <alignment horizontal="center" vertical="center" shrinkToFit="1"/>
    </xf>
    <xf numFmtId="0" fontId="6" fillId="0" borderId="18" xfId="0" applyNumberFormat="1" applyFont="1" applyBorder="1" applyAlignment="1">
      <alignment horizontal="center" vertical="center" shrinkToFit="1"/>
    </xf>
    <xf numFmtId="0" fontId="6" fillId="0" borderId="23" xfId="0" applyNumberFormat="1" applyFont="1" applyBorder="1" applyAlignment="1">
      <alignment horizontal="center" vertical="center" shrinkToFit="1"/>
    </xf>
    <xf numFmtId="0" fontId="6" fillId="0" borderId="6" xfId="0" applyNumberFormat="1" applyFont="1" applyBorder="1" applyAlignment="1">
      <alignment horizontal="center" vertical="center" shrinkToFit="1"/>
    </xf>
    <xf numFmtId="166" fontId="6" fillId="4" borderId="7" xfId="0" applyNumberFormat="1" applyFont="1" applyFill="1" applyBorder="1" applyAlignment="1" applyProtection="1">
      <alignment horizontal="center" vertical="center" shrinkToFit="1"/>
      <protection locked="0"/>
    </xf>
    <xf numFmtId="0" fontId="12" fillId="0" borderId="20" xfId="0" applyFont="1" applyBorder="1" applyAlignment="1">
      <alignment horizontal="center" vertical="center" shrinkToFit="1"/>
    </xf>
    <xf numFmtId="0" fontId="6" fillId="4" borderId="23" xfId="0" applyFont="1" applyFill="1" applyBorder="1" applyAlignment="1" applyProtection="1">
      <alignment horizontal="center" vertical="center"/>
      <protection locked="0"/>
    </xf>
    <xf numFmtId="0" fontId="19" fillId="0" borderId="24" xfId="0" applyFont="1" applyBorder="1" applyAlignment="1">
      <alignment horizontal="right"/>
    </xf>
    <xf numFmtId="0" fontId="0" fillId="0" borderId="0" xfId="0" applyFont="1" applyAlignment="1">
      <alignment wrapText="1"/>
    </xf>
    <xf numFmtId="0" fontId="6" fillId="0" borderId="25" xfId="0" applyFont="1" applyBorder="1"/>
    <xf numFmtId="0" fontId="6" fillId="0" borderId="26" xfId="0" applyFont="1" applyBorder="1"/>
    <xf numFmtId="0" fontId="6" fillId="0" borderId="11" xfId="0" applyFont="1" applyBorder="1"/>
    <xf numFmtId="0" fontId="6" fillId="0" borderId="18" xfId="0" applyFont="1" applyBorder="1"/>
    <xf numFmtId="0" fontId="6" fillId="0" borderId="27" xfId="0" applyFont="1" applyBorder="1"/>
    <xf numFmtId="0" fontId="6" fillId="0" borderId="28" xfId="0" applyFont="1" applyBorder="1"/>
    <xf numFmtId="0" fontId="2" fillId="0" borderId="29" xfId="0" applyFont="1" applyFill="1" applyBorder="1" applyAlignment="1"/>
    <xf numFmtId="0" fontId="2" fillId="0" borderId="12" xfId="0" applyFont="1" applyFill="1" applyBorder="1" applyAlignment="1"/>
    <xf numFmtId="0" fontId="2" fillId="0" borderId="30" xfId="0" applyFont="1" applyFill="1" applyBorder="1" applyAlignment="1"/>
    <xf numFmtId="0" fontId="6" fillId="0" borderId="9" xfId="0" applyFont="1" applyBorder="1"/>
    <xf numFmtId="0" fontId="6" fillId="0" borderId="21" xfId="0" applyFont="1" applyBorder="1"/>
    <xf numFmtId="0" fontId="6" fillId="0" borderId="23" xfId="0" applyFont="1" applyBorder="1" applyAlignment="1">
      <alignment horizontal="center"/>
    </xf>
    <xf numFmtId="0" fontId="2" fillId="0" borderId="31" xfId="0" applyFont="1" applyFill="1" applyBorder="1" applyAlignment="1"/>
    <xf numFmtId="0" fontId="6" fillId="0" borderId="32" xfId="0" applyFont="1" applyBorder="1"/>
    <xf numFmtId="0" fontId="6" fillId="0" borderId="23" xfId="0" applyFont="1" applyBorder="1"/>
    <xf numFmtId="0" fontId="6" fillId="0" borderId="8" xfId="0" applyFont="1" applyBorder="1"/>
    <xf numFmtId="0" fontId="6" fillId="0" borderId="6" xfId="0" applyFont="1" applyBorder="1"/>
    <xf numFmtId="0" fontId="6" fillId="0" borderId="33" xfId="0" applyFont="1" applyBorder="1"/>
    <xf numFmtId="0" fontId="6" fillId="0" borderId="34" xfId="0" applyFont="1" applyBorder="1"/>
    <xf numFmtId="0" fontId="6" fillId="0" borderId="35" xfId="0" applyFont="1" applyBorder="1"/>
    <xf numFmtId="0" fontId="6" fillId="0" borderId="36" xfId="0" applyFont="1" applyBorder="1"/>
    <xf numFmtId="0" fontId="6" fillId="0" borderId="37" xfId="0" applyFont="1" applyBorder="1"/>
    <xf numFmtId="0" fontId="6" fillId="0" borderId="38" xfId="0" applyFont="1" applyBorder="1"/>
    <xf numFmtId="0" fontId="6" fillId="0" borderId="29" xfId="0" applyFont="1" applyBorder="1"/>
    <xf numFmtId="0" fontId="6" fillId="0" borderId="12" xfId="0" applyFont="1" applyBorder="1"/>
    <xf numFmtId="0" fontId="6" fillId="0" borderId="31" xfId="0" applyFont="1" applyBorder="1"/>
    <xf numFmtId="0" fontId="6" fillId="0" borderId="30" xfId="0" applyFont="1" applyBorder="1"/>
    <xf numFmtId="0" fontId="6" fillId="0" borderId="39" xfId="0" applyFont="1" applyBorder="1"/>
    <xf numFmtId="0" fontId="11" fillId="0" borderId="38" xfId="0" applyFont="1" applyBorder="1" applyAlignment="1">
      <alignment horizontal="center"/>
    </xf>
    <xf numFmtId="168" fontId="12" fillId="0" borderId="4" xfId="0" applyNumberFormat="1" applyFont="1" applyBorder="1" applyAlignment="1">
      <alignment horizontal="left"/>
    </xf>
    <xf numFmtId="0" fontId="11" fillId="0" borderId="38" xfId="0" applyFont="1" applyBorder="1" applyAlignment="1">
      <alignment horizontal="center" vertical="center"/>
    </xf>
    <xf numFmtId="0" fontId="12" fillId="0" borderId="4" xfId="0" applyFont="1" applyBorder="1" applyAlignment="1">
      <alignment horizontal="left" vertical="center"/>
    </xf>
    <xf numFmtId="0" fontId="30" fillId="0" borderId="0" xfId="0" applyFont="1"/>
    <xf numFmtId="0" fontId="21" fillId="0" borderId="0" xfId="0" applyFont="1" applyAlignment="1"/>
    <xf numFmtId="14" fontId="21" fillId="0" borderId="0" xfId="0" applyNumberFormat="1" applyFont="1" applyAlignment="1"/>
    <xf numFmtId="169" fontId="21" fillId="0" borderId="0" xfId="0" applyNumberFormat="1" applyFont="1" applyAlignment="1"/>
    <xf numFmtId="0" fontId="30" fillId="0" borderId="0" xfId="0" applyFont="1" applyAlignment="1"/>
    <xf numFmtId="0" fontId="0" fillId="4" borderId="2" xfId="0" applyFill="1" applyBorder="1" applyProtection="1">
      <protection locked="0"/>
    </xf>
    <xf numFmtId="0" fontId="25" fillId="0" borderId="0" xfId="0" applyFont="1" applyAlignment="1"/>
    <xf numFmtId="0" fontId="24" fillId="0" borderId="0" xfId="0" applyFont="1" applyAlignment="1"/>
    <xf numFmtId="0" fontId="27" fillId="0" borderId="0" xfId="0" applyFont="1" applyAlignment="1">
      <alignment wrapText="1"/>
    </xf>
    <xf numFmtId="0" fontId="24" fillId="0" borderId="0" xfId="0" applyFont="1" applyAlignment="1">
      <alignment shrinkToFit="1"/>
    </xf>
    <xf numFmtId="0" fontId="6" fillId="0" borderId="0" xfId="0" applyFont="1" applyBorder="1" applyAlignment="1">
      <alignment horizontal="center"/>
    </xf>
    <xf numFmtId="0" fontId="2" fillId="5" borderId="0" xfId="0" applyNumberFormat="1" applyFont="1" applyFill="1" applyBorder="1" applyAlignment="1">
      <alignment shrinkToFit="1"/>
    </xf>
    <xf numFmtId="1" fontId="2" fillId="5" borderId="0" xfId="0" applyNumberFormat="1" applyFont="1" applyFill="1" applyBorder="1" applyAlignment="1">
      <alignment shrinkToFit="1"/>
    </xf>
    <xf numFmtId="0" fontId="2" fillId="5" borderId="0" xfId="0" applyFont="1" applyFill="1" applyBorder="1" applyAlignment="1"/>
    <xf numFmtId="166" fontId="2" fillId="5" borderId="0" xfId="0" applyNumberFormat="1" applyFont="1" applyFill="1" applyBorder="1" applyAlignment="1">
      <alignment shrinkToFit="1"/>
    </xf>
    <xf numFmtId="0" fontId="0" fillId="0" borderId="0" xfId="0" applyFill="1"/>
    <xf numFmtId="0" fontId="6" fillId="6" borderId="20" xfId="0" applyNumberFormat="1" applyFont="1" applyFill="1" applyBorder="1" applyAlignment="1" applyProtection="1">
      <alignment horizontal="center" vertical="center" wrapText="1" shrinkToFit="1"/>
      <protection locked="0"/>
    </xf>
    <xf numFmtId="0" fontId="6" fillId="6" borderId="2" xfId="0" applyNumberFormat="1" applyFont="1" applyFill="1" applyBorder="1" applyAlignment="1" applyProtection="1">
      <alignment horizontal="center" vertical="center" wrapText="1" shrinkToFit="1"/>
      <protection locked="0"/>
    </xf>
    <xf numFmtId="0" fontId="6" fillId="6" borderId="20" xfId="0" quotePrefix="1" applyNumberFormat="1" applyFont="1" applyFill="1" applyBorder="1" applyAlignment="1" applyProtection="1">
      <alignment horizontal="center" vertical="center" shrinkToFit="1"/>
      <protection locked="0"/>
    </xf>
    <xf numFmtId="0" fontId="6" fillId="6" borderId="2" xfId="0" quotePrefix="1" applyNumberFormat="1" applyFont="1" applyFill="1" applyBorder="1" applyAlignment="1" applyProtection="1">
      <alignment horizontal="center" vertical="center" shrinkToFit="1"/>
      <protection locked="0"/>
    </xf>
    <xf numFmtId="0" fontId="6" fillId="6" borderId="2" xfId="0" applyNumberFormat="1" applyFont="1" applyFill="1" applyBorder="1" applyAlignment="1" applyProtection="1">
      <alignment horizontal="center" vertical="center" shrinkToFit="1"/>
      <protection locked="0"/>
    </xf>
    <xf numFmtId="0" fontId="6" fillId="6" borderId="19" xfId="0" applyNumberFormat="1" applyFont="1" applyFill="1" applyBorder="1" applyAlignment="1" applyProtection="1">
      <alignment horizontal="center" vertical="center" shrinkToFit="1"/>
      <protection locked="0"/>
    </xf>
    <xf numFmtId="0" fontId="6" fillId="6" borderId="22" xfId="0" applyNumberFormat="1" applyFont="1" applyFill="1" applyBorder="1" applyAlignment="1" applyProtection="1">
      <alignment horizontal="center" vertical="center" shrinkToFit="1"/>
      <protection locked="0"/>
    </xf>
    <xf numFmtId="0" fontId="6" fillId="7" borderId="21" xfId="0" applyNumberFormat="1" applyFont="1" applyFill="1" applyBorder="1" applyAlignment="1" applyProtection="1">
      <alignment horizontal="center" vertical="center" shrinkToFit="1"/>
      <protection locked="0"/>
    </xf>
    <xf numFmtId="0" fontId="6" fillId="7" borderId="18" xfId="0" applyNumberFormat="1" applyFont="1" applyFill="1" applyBorder="1" applyAlignment="1" applyProtection="1">
      <alignment horizontal="center" vertical="center" shrinkToFit="1"/>
      <protection locked="0"/>
    </xf>
    <xf numFmtId="0" fontId="2" fillId="0" borderId="40" xfId="0" applyFont="1" applyFill="1" applyBorder="1" applyAlignment="1">
      <alignment textRotation="90"/>
    </xf>
    <xf numFmtId="0" fontId="2" fillId="5" borderId="41" xfId="0" applyFont="1" applyFill="1" applyBorder="1" applyAlignment="1">
      <alignment textRotation="90"/>
    </xf>
    <xf numFmtId="1" fontId="2" fillId="0" borderId="41" xfId="0" applyNumberFormat="1" applyFont="1" applyFill="1" applyBorder="1" applyAlignment="1">
      <alignment textRotation="90"/>
    </xf>
    <xf numFmtId="0" fontId="2" fillId="0" borderId="41" xfId="0" applyFont="1" applyFill="1" applyBorder="1" applyAlignment="1">
      <alignment textRotation="90"/>
    </xf>
    <xf numFmtId="0" fontId="2" fillId="0" borderId="42" xfId="0" applyFont="1" applyFill="1" applyBorder="1" applyAlignment="1">
      <alignment textRotation="90"/>
    </xf>
    <xf numFmtId="0" fontId="2" fillId="0" borderId="43" xfId="0" applyFont="1" applyFill="1" applyBorder="1" applyAlignment="1"/>
    <xf numFmtId="0" fontId="2" fillId="0" borderId="44" xfId="0" applyFont="1" applyFill="1" applyBorder="1" applyAlignment="1"/>
    <xf numFmtId="0" fontId="2" fillId="5" borderId="45" xfId="0" applyFont="1" applyFill="1" applyBorder="1" applyAlignment="1"/>
    <xf numFmtId="0" fontId="2" fillId="5" borderId="45" xfId="0" applyNumberFormat="1" applyFont="1" applyFill="1" applyBorder="1" applyAlignment="1">
      <alignment shrinkToFit="1"/>
    </xf>
    <xf numFmtId="166" fontId="2" fillId="5" borderId="45" xfId="0" applyNumberFormat="1" applyFont="1" applyFill="1" applyBorder="1" applyAlignment="1">
      <alignment shrinkToFit="1"/>
    </xf>
    <xf numFmtId="0" fontId="2" fillId="0" borderId="40" xfId="0" applyFont="1" applyFill="1" applyBorder="1" applyAlignment="1">
      <alignment horizontal="center" textRotation="90"/>
    </xf>
    <xf numFmtId="0" fontId="2" fillId="0" borderId="41" xfId="0" applyFont="1" applyFill="1" applyBorder="1" applyAlignment="1">
      <alignment horizontal="center" textRotation="90"/>
    </xf>
    <xf numFmtId="49" fontId="2" fillId="0" borderId="43" xfId="0" applyNumberFormat="1" applyFont="1" applyFill="1" applyBorder="1" applyAlignment="1">
      <alignment shrinkToFit="1"/>
    </xf>
    <xf numFmtId="0" fontId="0" fillId="0" borderId="0" xfId="0" applyBorder="1"/>
    <xf numFmtId="0" fontId="0" fillId="0" borderId="46" xfId="0" applyBorder="1"/>
    <xf numFmtId="0" fontId="4" fillId="0" borderId="0" xfId="0" applyFont="1" applyBorder="1"/>
    <xf numFmtId="49" fontId="2" fillId="0" borderId="44" xfId="0" applyNumberFormat="1" applyFont="1" applyFill="1" applyBorder="1" applyAlignment="1">
      <alignment shrinkToFit="1"/>
    </xf>
    <xf numFmtId="49" fontId="2" fillId="0" borderId="45" xfId="0" applyNumberFormat="1" applyFont="1" applyFill="1" applyBorder="1" applyAlignment="1">
      <alignment shrinkToFit="1"/>
    </xf>
    <xf numFmtId="165" fontId="2" fillId="0" borderId="45" xfId="0" applyNumberFormat="1" applyFont="1" applyFill="1" applyBorder="1" applyAlignment="1">
      <alignment shrinkToFit="1"/>
    </xf>
    <xf numFmtId="1" fontId="2" fillId="0" borderId="45" xfId="0" applyNumberFormat="1" applyFont="1" applyFill="1" applyBorder="1" applyAlignment="1">
      <alignment shrinkToFit="1"/>
    </xf>
    <xf numFmtId="0" fontId="0" fillId="0" borderId="45" xfId="0" applyBorder="1"/>
    <xf numFmtId="0" fontId="4" fillId="0" borderId="45" xfId="0" applyFont="1" applyBorder="1"/>
    <xf numFmtId="0" fontId="0" fillId="0" borderId="47" xfId="0" applyBorder="1"/>
    <xf numFmtId="0" fontId="2" fillId="5" borderId="0" xfId="0" applyFont="1" applyFill="1" applyBorder="1" applyAlignment="1">
      <alignment textRotation="90"/>
    </xf>
    <xf numFmtId="0" fontId="23" fillId="0" borderId="0" xfId="0" applyFont="1"/>
    <xf numFmtId="0" fontId="29" fillId="5" borderId="41" xfId="0" applyFont="1" applyFill="1" applyBorder="1" applyAlignment="1">
      <alignment textRotation="90"/>
    </xf>
    <xf numFmtId="0" fontId="29" fillId="5" borderId="0" xfId="0" applyFont="1" applyFill="1" applyBorder="1" applyAlignment="1">
      <alignment textRotation="90"/>
    </xf>
    <xf numFmtId="0" fontId="29" fillId="5" borderId="0" xfId="0" applyFont="1" applyFill="1" applyBorder="1" applyAlignment="1"/>
    <xf numFmtId="0" fontId="29" fillId="5" borderId="45" xfId="0" applyFont="1" applyFill="1" applyBorder="1" applyAlignment="1"/>
    <xf numFmtId="0" fontId="0" fillId="8" borderId="0" xfId="0" applyFill="1" applyAlignment="1">
      <alignment wrapText="1"/>
    </xf>
    <xf numFmtId="0" fontId="0" fillId="8" borderId="0" xfId="0" applyFont="1" applyFill="1" applyAlignment="1">
      <alignment wrapText="1"/>
    </xf>
    <xf numFmtId="0" fontId="4" fillId="8" borderId="0" xfId="0" applyFont="1" applyFill="1" applyAlignment="1">
      <alignment wrapText="1"/>
    </xf>
    <xf numFmtId="0" fontId="4" fillId="8" borderId="0" xfId="0" applyFont="1" applyFill="1"/>
    <xf numFmtId="0" fontId="0" fillId="0" borderId="48" xfId="0" applyBorder="1"/>
    <xf numFmtId="0" fontId="0" fillId="0" borderId="49" xfId="0" applyBorder="1"/>
    <xf numFmtId="0" fontId="0" fillId="0" borderId="13" xfId="0" applyBorder="1"/>
    <xf numFmtId="0" fontId="0" fillId="0" borderId="5" xfId="0" applyBorder="1"/>
    <xf numFmtId="0" fontId="0" fillId="0" borderId="14" xfId="0" applyBorder="1"/>
    <xf numFmtId="0" fontId="0" fillId="0" borderId="15" xfId="0" applyBorder="1"/>
    <xf numFmtId="0" fontId="0" fillId="0" borderId="16" xfId="0" applyBorder="1" applyAlignment="1">
      <alignment shrinkToFit="1"/>
    </xf>
    <xf numFmtId="0" fontId="0" fillId="0" borderId="16" xfId="0" applyBorder="1"/>
    <xf numFmtId="0" fontId="0" fillId="0" borderId="17" xfId="0" applyBorder="1"/>
    <xf numFmtId="0" fontId="0" fillId="0" borderId="3" xfId="0" applyBorder="1"/>
    <xf numFmtId="0" fontId="0" fillId="0" borderId="24" xfId="0" applyBorder="1"/>
    <xf numFmtId="0" fontId="13" fillId="0" borderId="3" xfId="0" applyFont="1" applyBorder="1" applyAlignment="1"/>
    <xf numFmtId="0" fontId="0" fillId="0" borderId="50" xfId="0" applyBorder="1"/>
    <xf numFmtId="0" fontId="18" fillId="0" borderId="3" xfId="0" applyFont="1" applyBorder="1" applyAlignment="1"/>
    <xf numFmtId="1" fontId="2" fillId="0" borderId="0" xfId="0" applyNumberFormat="1" applyFont="1" applyFill="1" applyBorder="1" applyAlignment="1"/>
    <xf numFmtId="0" fontId="1" fillId="0" borderId="0" xfId="0" applyFont="1"/>
    <xf numFmtId="49" fontId="10" fillId="2" borderId="0" xfId="0" applyNumberFormat="1" applyFont="1" applyFill="1" applyAlignment="1" applyProtection="1">
      <alignment shrinkToFit="1"/>
      <protection locked="0"/>
    </xf>
    <xf numFmtId="0" fontId="6" fillId="4" borderId="1" xfId="0" applyFont="1" applyFill="1" applyBorder="1" applyAlignment="1" applyProtection="1">
      <alignment horizontal="center" shrinkToFit="1"/>
      <protection locked="0"/>
    </xf>
    <xf numFmtId="0" fontId="6" fillId="2" borderId="0" xfId="0" applyFont="1" applyFill="1" applyAlignment="1" applyProtection="1">
      <alignment shrinkToFit="1"/>
      <protection locked="0"/>
    </xf>
    <xf numFmtId="0" fontId="5" fillId="0" borderId="0" xfId="0" applyFont="1" applyAlignment="1">
      <alignment horizontal="center"/>
    </xf>
    <xf numFmtId="0" fontId="7" fillId="0" borderId="0" xfId="0" applyFont="1" applyAlignment="1">
      <alignment horizontal="center"/>
    </xf>
    <xf numFmtId="0" fontId="6" fillId="0" borderId="0" xfId="0" applyFont="1" applyAlignment="1">
      <alignment horizontal="left" wrapText="1"/>
    </xf>
    <xf numFmtId="0" fontId="6" fillId="4" borderId="1" xfId="0" applyFont="1" applyFill="1" applyBorder="1" applyAlignment="1" applyProtection="1">
      <alignment horizontal="left" shrinkToFit="1"/>
      <protection locked="0"/>
    </xf>
    <xf numFmtId="0" fontId="6" fillId="2" borderId="0" xfId="0" applyFont="1" applyFill="1" applyAlignment="1" applyProtection="1">
      <alignment shrinkToFit="1"/>
      <protection locked="0"/>
    </xf>
    <xf numFmtId="0" fontId="8" fillId="0" borderId="0" xfId="0" applyFont="1" applyAlignment="1">
      <alignment horizontal="center"/>
    </xf>
    <xf numFmtId="49" fontId="10" fillId="4" borderId="1" xfId="0" applyNumberFormat="1" applyFont="1" applyFill="1" applyBorder="1" applyAlignment="1" applyProtection="1">
      <alignment horizontal="left" shrinkToFit="1"/>
      <protection locked="0"/>
    </xf>
    <xf numFmtId="0" fontId="10" fillId="4" borderId="1" xfId="0" applyFont="1" applyFill="1" applyBorder="1" applyAlignment="1" applyProtection="1">
      <alignment horizontal="left" shrinkToFit="1"/>
      <protection locked="0"/>
    </xf>
    <xf numFmtId="0" fontId="6" fillId="0" borderId="51" xfId="0" applyFont="1" applyBorder="1" applyAlignment="1">
      <alignment horizontal="center" vertical="top"/>
    </xf>
    <xf numFmtId="0" fontId="6" fillId="4" borderId="0" xfId="0" applyFont="1" applyFill="1" applyAlignment="1" applyProtection="1">
      <alignment horizontal="left" vertical="top" wrapText="1"/>
      <protection locked="0"/>
    </xf>
    <xf numFmtId="14" fontId="10" fillId="4" borderId="1" xfId="0" applyNumberFormat="1" applyFont="1" applyFill="1" applyBorder="1" applyAlignment="1" applyProtection="1">
      <alignment horizontal="center" shrinkToFit="1"/>
      <protection locked="0"/>
    </xf>
    <xf numFmtId="0" fontId="10" fillId="0" borderId="0" xfId="0" applyFont="1" applyAlignment="1">
      <alignment horizontal="left" wrapText="1"/>
    </xf>
    <xf numFmtId="0" fontId="13" fillId="0" borderId="3" xfId="0" applyFont="1" applyBorder="1" applyAlignment="1">
      <alignment horizontal="center"/>
    </xf>
    <xf numFmtId="0" fontId="18" fillId="0" borderId="52" xfId="0" applyFont="1" applyBorder="1" applyAlignment="1">
      <alignment horizontal="center"/>
    </xf>
    <xf numFmtId="0" fontId="13" fillId="0" borderId="53" xfId="0" applyFont="1" applyBorder="1" applyAlignment="1">
      <alignment horizontal="center" textRotation="90"/>
    </xf>
    <xf numFmtId="0" fontId="13" fillId="0" borderId="54" xfId="0" applyFont="1" applyBorder="1" applyAlignment="1">
      <alignment horizontal="center" textRotation="90"/>
    </xf>
    <xf numFmtId="0" fontId="13" fillId="6" borderId="53" xfId="0" applyFont="1" applyFill="1" applyBorder="1" applyAlignment="1">
      <alignment horizontal="center" textRotation="90"/>
    </xf>
    <xf numFmtId="0" fontId="13" fillId="6" borderId="54" xfId="0" applyFont="1" applyFill="1" applyBorder="1" applyAlignment="1">
      <alignment horizontal="center" textRotation="90"/>
    </xf>
    <xf numFmtId="0" fontId="6" fillId="0" borderId="54" xfId="0" applyFont="1" applyBorder="1" applyAlignment="1">
      <alignment horizontal="center" textRotation="90"/>
    </xf>
    <xf numFmtId="0" fontId="12" fillId="0" borderId="4" xfId="0" applyFont="1" applyBorder="1" applyAlignment="1">
      <alignment horizontal="left"/>
    </xf>
    <xf numFmtId="0" fontId="13" fillId="0" borderId="57" xfId="0" applyFont="1" applyBorder="1" applyAlignment="1">
      <alignment horizontal="center" textRotation="90"/>
    </xf>
    <xf numFmtId="0" fontId="6" fillId="0" borderId="58" xfId="0" applyFont="1" applyBorder="1" applyAlignment="1">
      <alignment horizontal="center" textRotation="90"/>
    </xf>
    <xf numFmtId="0" fontId="13" fillId="7" borderId="62" xfId="0" applyFont="1" applyFill="1" applyBorder="1" applyAlignment="1">
      <alignment horizontal="center" textRotation="90"/>
    </xf>
    <xf numFmtId="0" fontId="13" fillId="7" borderId="63" xfId="0" applyFont="1" applyFill="1" applyBorder="1" applyAlignment="1">
      <alignment horizontal="center" textRotation="90"/>
    </xf>
    <xf numFmtId="0" fontId="13" fillId="0" borderId="8" xfId="0" applyFont="1" applyBorder="1" applyAlignment="1">
      <alignment horizontal="center" wrapText="1"/>
    </xf>
    <xf numFmtId="0" fontId="13" fillId="0" borderId="64" xfId="0" applyFont="1" applyBorder="1" applyAlignment="1">
      <alignment horizontal="center" wrapText="1"/>
    </xf>
    <xf numFmtId="0" fontId="12" fillId="0" borderId="4" xfId="0" applyFont="1" applyBorder="1" applyAlignment="1">
      <alignment horizontal="left" vertical="center" shrinkToFit="1"/>
    </xf>
    <xf numFmtId="0" fontId="12" fillId="0" borderId="59" xfId="0" applyFont="1" applyBorder="1" applyAlignment="1">
      <alignment horizontal="left" vertical="center" shrinkToFit="1"/>
    </xf>
    <xf numFmtId="0" fontId="10" fillId="0" borderId="14" xfId="0" applyFont="1" applyBorder="1" applyAlignment="1">
      <alignment horizontal="center" textRotation="90"/>
    </xf>
    <xf numFmtId="0" fontId="10" fillId="0" borderId="24" xfId="0" applyFont="1" applyBorder="1" applyAlignment="1">
      <alignment horizontal="center" textRotation="90"/>
    </xf>
    <xf numFmtId="0" fontId="13" fillId="0" borderId="60" xfId="0" applyFont="1" applyBorder="1" applyAlignment="1">
      <alignment horizontal="center" textRotation="90"/>
    </xf>
    <xf numFmtId="0" fontId="13" fillId="0" borderId="61" xfId="0" applyFont="1" applyBorder="1" applyAlignment="1">
      <alignment horizontal="center" textRotation="90"/>
    </xf>
    <xf numFmtId="0" fontId="13" fillId="0" borderId="55" xfId="0" applyFont="1" applyBorder="1" applyAlignment="1">
      <alignment horizontal="center" textRotation="90"/>
    </xf>
    <xf numFmtId="0" fontId="6" fillId="0" borderId="56" xfId="0" applyFont="1" applyBorder="1" applyAlignment="1">
      <alignment horizontal="center" textRotation="90"/>
    </xf>
    <xf numFmtId="0" fontId="6" fillId="0" borderId="57" xfId="0" applyFont="1" applyBorder="1" applyAlignment="1">
      <alignment horizontal="center" textRotation="90"/>
    </xf>
    <xf numFmtId="0" fontId="6" fillId="0" borderId="53" xfId="0" applyFont="1" applyBorder="1" applyAlignment="1">
      <alignment horizontal="center"/>
    </xf>
    <xf numFmtId="0" fontId="6" fillId="0" borderId="54" xfId="0" applyFont="1" applyBorder="1" applyAlignment="1"/>
    <xf numFmtId="0" fontId="6" fillId="0" borderId="55" xfId="0" applyFont="1" applyBorder="1" applyAlignment="1">
      <alignment horizontal="center"/>
    </xf>
    <xf numFmtId="0" fontId="6" fillId="0" borderId="56" xfId="0" applyFont="1" applyBorder="1" applyAlignment="1"/>
    <xf numFmtId="0" fontId="12" fillId="0" borderId="32" xfId="0" applyFont="1" applyBorder="1" applyAlignment="1">
      <alignment horizontal="center" textRotation="90"/>
    </xf>
    <xf numFmtId="0" fontId="12" fillId="0" borderId="23" xfId="0" applyFont="1" applyBorder="1" applyAlignment="1">
      <alignment horizontal="center" textRotation="90"/>
    </xf>
    <xf numFmtId="1" fontId="2" fillId="0" borderId="0" xfId="0" applyNumberFormat="1" applyFont="1" applyFill="1" applyBorder="1" applyAlignment="1">
      <alignment horizontal="left"/>
    </xf>
    <xf numFmtId="0" fontId="12" fillId="0" borderId="8" xfId="0" applyFont="1" applyBorder="1" applyAlignment="1">
      <alignment horizontal="center"/>
    </xf>
    <xf numFmtId="0" fontId="12" fillId="0" borderId="32"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6" fillId="0" borderId="32" xfId="0" applyFont="1" applyBorder="1" applyAlignment="1">
      <alignment horizontal="center"/>
    </xf>
    <xf numFmtId="0" fontId="21" fillId="0" borderId="0" xfId="0" applyFont="1" applyAlignment="1">
      <alignment horizontal="center" shrinkToFit="1"/>
    </xf>
    <xf numFmtId="0" fontId="21" fillId="0" borderId="0" xfId="0" applyFont="1" applyAlignment="1">
      <alignment horizontal="left"/>
    </xf>
    <xf numFmtId="0" fontId="4" fillId="0" borderId="0" xfId="0" applyFont="1" applyAlignment="1">
      <alignment horizontal="left" wrapText="1"/>
    </xf>
    <xf numFmtId="0" fontId="30" fillId="0" borderId="0" xfId="0" applyFont="1" applyAlignment="1">
      <alignment horizontal="left" vertical="top" wrapText="1"/>
    </xf>
    <xf numFmtId="169" fontId="21" fillId="0" borderId="0" xfId="0" applyNumberFormat="1" applyFont="1" applyAlignment="1">
      <alignment horizontal="left" shrinkToFit="1"/>
    </xf>
    <xf numFmtId="0" fontId="20" fillId="0" borderId="0" xfId="0" applyFont="1" applyAlignment="1">
      <alignment horizontal="center" shrinkToFit="1"/>
    </xf>
    <xf numFmtId="0" fontId="21" fillId="0" borderId="0" xfId="0" applyFont="1" applyAlignment="1">
      <alignment horizontal="left" shrinkToFit="1"/>
    </xf>
    <xf numFmtId="14" fontId="24" fillId="0" borderId="0" xfId="0" applyNumberFormat="1" applyFont="1" applyAlignment="1">
      <alignment horizontal="left" shrinkToFit="1"/>
    </xf>
    <xf numFmtId="0" fontId="28" fillId="0" borderId="0" xfId="0" applyFont="1" applyAlignment="1">
      <alignment horizontal="center" wrapText="1"/>
    </xf>
    <xf numFmtId="0" fontId="24" fillId="0" borderId="0" xfId="0" applyFont="1" applyAlignment="1">
      <alignment horizontal="center" shrinkToFit="1"/>
    </xf>
    <xf numFmtId="0" fontId="25" fillId="0" borderId="0" xfId="0" applyFont="1" applyAlignment="1">
      <alignment horizontal="center" shrinkToFit="1"/>
    </xf>
    <xf numFmtId="0" fontId="25" fillId="0" borderId="0" xfId="0" applyFont="1" applyAlignment="1">
      <alignment horizontal="left"/>
    </xf>
    <xf numFmtId="0" fontId="26" fillId="0" borderId="0" xfId="0" applyFont="1" applyAlignment="1">
      <alignment horizontal="left"/>
    </xf>
  </cellXfs>
  <cellStyles count="2">
    <cellStyle name="Komma" xfId="1" builtinId="3"/>
    <cellStyle name="Standard" xfId="0" builtinId="0"/>
  </cellStyles>
  <dxfs count="3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dxf>
    <dxf>
      <font>
        <color theme="0" tint="-4.9989318521683403E-2"/>
      </font>
    </dxf>
    <dxf>
      <fill>
        <patternFill patternType="lightTrellis">
          <fgColor auto="1"/>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9"/>
      </font>
      <fill>
        <patternFill>
          <bgColor indexed="10"/>
        </patternFill>
      </fill>
    </dxf>
    <dxf>
      <font>
        <condense val="0"/>
        <extend val="0"/>
        <color indexed="10"/>
      </font>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180796</xdr:colOff>
      <xdr:row>2</xdr:row>
      <xdr:rowOff>75948</xdr:rowOff>
    </xdr:to>
    <xdr:pic>
      <xdr:nvPicPr>
        <xdr:cNvPr id="2" name="Grafik 1">
          <a:extLst>
            <a:ext uri="{FF2B5EF4-FFF2-40B4-BE49-F238E27FC236}">
              <a16:creationId xmlns:a16="http://schemas.microsoft.com/office/drawing/2014/main" id="{E5F710AF-CD53-4250-BDCC-AC42E0725D82}"/>
            </a:ext>
          </a:extLst>
        </xdr:cNvPr>
        <xdr:cNvPicPr>
          <a:picLocks noChangeAspect="1"/>
        </xdr:cNvPicPr>
      </xdr:nvPicPr>
      <xdr:blipFill>
        <a:blip xmlns:r="http://schemas.openxmlformats.org/officeDocument/2006/relationships" r:embed="rId1"/>
        <a:stretch>
          <a:fillRect/>
        </a:stretch>
      </xdr:blipFill>
      <xdr:spPr>
        <a:xfrm>
          <a:off x="5581650" y="161925"/>
          <a:ext cx="1428571" cy="20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199846</xdr:colOff>
      <xdr:row>2</xdr:row>
      <xdr:rowOff>75948</xdr:rowOff>
    </xdr:to>
    <xdr:pic>
      <xdr:nvPicPr>
        <xdr:cNvPr id="2" name="Grafik 1">
          <a:extLst>
            <a:ext uri="{FF2B5EF4-FFF2-40B4-BE49-F238E27FC236}">
              <a16:creationId xmlns:a16="http://schemas.microsoft.com/office/drawing/2014/main" id="{0ACE26A5-37A1-4EE4-83CA-E57328195D8D}"/>
            </a:ext>
          </a:extLst>
        </xdr:cNvPr>
        <xdr:cNvPicPr>
          <a:picLocks noChangeAspect="1"/>
        </xdr:cNvPicPr>
      </xdr:nvPicPr>
      <xdr:blipFill>
        <a:blip xmlns:r="http://schemas.openxmlformats.org/officeDocument/2006/relationships" r:embed="rId1"/>
        <a:stretch>
          <a:fillRect/>
        </a:stretch>
      </xdr:blipFill>
      <xdr:spPr>
        <a:xfrm>
          <a:off x="5581650" y="161925"/>
          <a:ext cx="1428571" cy="20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666571</xdr:colOff>
      <xdr:row>2</xdr:row>
      <xdr:rowOff>75948</xdr:rowOff>
    </xdr:to>
    <xdr:pic>
      <xdr:nvPicPr>
        <xdr:cNvPr id="3" name="Grafik 2">
          <a:extLst>
            <a:ext uri="{FF2B5EF4-FFF2-40B4-BE49-F238E27FC236}">
              <a16:creationId xmlns:a16="http://schemas.microsoft.com/office/drawing/2014/main" id="{336FD031-44A5-4D08-87AD-21550EDAA8C3}"/>
            </a:ext>
          </a:extLst>
        </xdr:cNvPr>
        <xdr:cNvPicPr>
          <a:picLocks noChangeAspect="1"/>
        </xdr:cNvPicPr>
      </xdr:nvPicPr>
      <xdr:blipFill>
        <a:blip xmlns:r="http://schemas.openxmlformats.org/officeDocument/2006/relationships" r:embed="rId1"/>
        <a:stretch>
          <a:fillRect/>
        </a:stretch>
      </xdr:blipFill>
      <xdr:spPr>
        <a:xfrm>
          <a:off x="4914900" y="161925"/>
          <a:ext cx="1428571" cy="20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6"/>
  <sheetViews>
    <sheetView tabSelected="1" topLeftCell="L4" workbookViewId="0">
      <selection activeCell="P14" sqref="P14:Q14"/>
    </sheetView>
  </sheetViews>
  <sheetFormatPr baseColWidth="10" defaultColWidth="11.5703125" defaultRowHeight="12.75" x14ac:dyDescent="0.2"/>
  <cols>
    <col min="1" max="1" width="1.85546875" style="11" customWidth="1"/>
    <col min="2" max="2" width="4.42578125" style="11" customWidth="1"/>
    <col min="3" max="3" width="11.5703125" style="11"/>
    <col min="4" max="4" width="4.42578125" style="11" customWidth="1"/>
    <col min="5" max="5" width="11.5703125" style="11"/>
    <col min="6" max="6" width="4.42578125" style="11" customWidth="1"/>
    <col min="7" max="7" width="11.5703125" style="11"/>
    <col min="8" max="8" width="4.42578125" style="11" customWidth="1"/>
    <col min="9" max="9" width="11.5703125" style="11"/>
    <col min="10" max="10" width="4.42578125" style="11" customWidth="1"/>
    <col min="11" max="11" width="11.5703125" style="11"/>
    <col min="12" max="12" width="6.7109375" style="11" customWidth="1"/>
    <col min="13" max="13" width="3.7109375" style="11" customWidth="1"/>
    <col min="14" max="14" width="6.7109375" style="11" customWidth="1"/>
    <col min="15" max="15" width="2.42578125" style="11" customWidth="1"/>
    <col min="16" max="16" width="3.7109375" style="11" customWidth="1"/>
    <col min="17" max="17" width="8.42578125" style="11" customWidth="1"/>
    <col min="18" max="18" width="3.5703125" style="11" customWidth="1"/>
    <col min="19" max="19" width="7.7109375" style="11" customWidth="1"/>
    <col min="20" max="20" width="5" style="11" customWidth="1"/>
    <col min="21" max="21" width="2.42578125" style="11" customWidth="1"/>
    <col min="22" max="22" width="5.85546875" style="11" customWidth="1"/>
    <col min="23" max="23" width="6.140625" style="11" customWidth="1"/>
    <col min="24" max="24" width="2.28515625" style="11" customWidth="1"/>
    <col min="25" max="25" width="5" style="11" customWidth="1"/>
    <col min="26" max="26" width="5.85546875" style="11" customWidth="1"/>
    <col min="27" max="16384" width="11.5703125" style="11"/>
  </cols>
  <sheetData>
    <row r="1" spans="2:26" ht="18" x14ac:dyDescent="0.25">
      <c r="B1" s="10" t="s">
        <v>36</v>
      </c>
      <c r="N1" s="205" t="s">
        <v>50</v>
      </c>
      <c r="O1" s="205"/>
      <c r="P1" s="205"/>
      <c r="Q1" s="205"/>
      <c r="R1" s="205"/>
      <c r="S1" s="205"/>
      <c r="T1" s="205"/>
      <c r="U1" s="205"/>
      <c r="V1" s="205"/>
      <c r="W1" s="205"/>
      <c r="X1" s="205"/>
      <c r="Y1" s="205"/>
      <c r="Z1" s="205"/>
    </row>
    <row r="2" spans="2:26" ht="21" customHeight="1" x14ac:dyDescent="0.2">
      <c r="B2" s="11" t="s">
        <v>37</v>
      </c>
    </row>
    <row r="3" spans="2:26" ht="19.5" x14ac:dyDescent="0.25">
      <c r="N3" s="206" t="s">
        <v>51</v>
      </c>
      <c r="O3" s="206"/>
      <c r="P3" s="206"/>
      <c r="Q3" s="206"/>
      <c r="R3" s="206"/>
      <c r="S3" s="206"/>
      <c r="T3" s="206"/>
      <c r="U3" s="206"/>
      <c r="V3" s="206"/>
      <c r="W3" s="206"/>
      <c r="X3" s="206"/>
      <c r="Y3" s="206"/>
      <c r="Z3" s="206"/>
    </row>
    <row r="4" spans="2:26" ht="16.149999999999999" customHeight="1" x14ac:dyDescent="0.25">
      <c r="B4" s="13" t="str">
        <f>IF(VLOOKUP(C4,nst,6,FALSE)&gt;0,
 VLOOKUP(C4,nst,6,FALSE),"")</f>
        <v/>
      </c>
      <c r="C4" s="11" t="s">
        <v>22</v>
      </c>
      <c r="D4" s="13" t="str">
        <f>IF(VLOOKUP(E4,nst,6,FALSE)&gt;0,
 VLOOKUP(E4,nst,6,FALSE),"")</f>
        <v/>
      </c>
      <c r="E4" s="11" t="s">
        <v>23</v>
      </c>
      <c r="F4" s="13" t="str">
        <f>IF(VLOOKUP(G4,nst,6,FALSE)&gt;0,
 VLOOKUP(G4,nst,6,FALSE),"")</f>
        <v/>
      </c>
      <c r="G4" s="11" t="s">
        <v>24</v>
      </c>
      <c r="H4" s="13" t="str">
        <f>IF(VLOOKUP(I4,nst,6,FALSE)&gt;0,
 VLOOKUP(I4,nst,6,FALSE),"")</f>
        <v/>
      </c>
      <c r="I4" s="11" t="s">
        <v>25</v>
      </c>
      <c r="J4" s="13" t="str">
        <f>IF(VLOOKUP(K4,nst,6,FALSE)&gt;0,
 VLOOKUP(K4,nst,6,FALSE),"")</f>
        <v/>
      </c>
      <c r="K4" s="11" t="s">
        <v>34</v>
      </c>
      <c r="N4" s="210"/>
      <c r="O4" s="210"/>
      <c r="P4" s="210"/>
      <c r="Q4" s="210"/>
      <c r="R4" s="210"/>
      <c r="S4" s="210"/>
      <c r="T4" s="210"/>
      <c r="U4" s="210"/>
      <c r="V4" s="210"/>
      <c r="W4" s="210"/>
      <c r="X4" s="210"/>
      <c r="Y4" s="210"/>
      <c r="Z4" s="210"/>
    </row>
    <row r="5" spans="2:26" ht="19.5" x14ac:dyDescent="0.25">
      <c r="N5" s="206" t="s">
        <v>144</v>
      </c>
      <c r="O5" s="206"/>
      <c r="P5" s="206"/>
      <c r="Q5" s="206"/>
      <c r="R5" s="206"/>
      <c r="S5" s="206"/>
      <c r="T5" s="206"/>
      <c r="U5" s="206"/>
      <c r="V5" s="206"/>
      <c r="W5" s="206"/>
      <c r="X5" s="206"/>
      <c r="Y5" s="206"/>
      <c r="Z5" s="206"/>
    </row>
    <row r="6" spans="2:26" ht="13.15" customHeight="1" x14ac:dyDescent="0.25">
      <c r="B6" s="13" t="str">
        <f>IF(VLOOKUP(C6,nst,6,FALSE)&gt;0,
 VLOOKUP(C6,nst,6,FALSE),"")</f>
        <v/>
      </c>
      <c r="C6" s="11" t="s">
        <v>26</v>
      </c>
      <c r="D6" s="11" t="s">
        <v>38</v>
      </c>
      <c r="H6" s="13" t="str">
        <f>IF(VLOOKUP(I6,nst,6,FALSE)&gt;0,
 VLOOKUP(I6,nst,6,FALSE),"")</f>
        <v/>
      </c>
      <c r="I6" s="11" t="s">
        <v>30</v>
      </c>
      <c r="J6" s="11" t="s">
        <v>42</v>
      </c>
      <c r="N6" s="12"/>
      <c r="O6" s="12"/>
      <c r="P6" s="12"/>
      <c r="Q6" s="12"/>
      <c r="R6" s="12"/>
      <c r="S6" s="12"/>
      <c r="T6" s="12"/>
      <c r="U6" s="12"/>
      <c r="V6" s="12"/>
      <c r="W6" s="12"/>
      <c r="X6" s="12"/>
      <c r="Y6" s="12"/>
      <c r="Z6" s="12"/>
    </row>
    <row r="7" spans="2:26" ht="13.15" customHeight="1" x14ac:dyDescent="0.25">
      <c r="B7" s="14"/>
      <c r="H7" s="14"/>
      <c r="N7" s="12"/>
      <c r="O7" s="12"/>
      <c r="P7" s="12"/>
      <c r="Q7" s="12"/>
      <c r="R7" s="12"/>
      <c r="S7" s="12"/>
      <c r="T7" s="12"/>
      <c r="U7" s="12"/>
      <c r="V7" s="12"/>
      <c r="W7" s="12"/>
      <c r="X7" s="12"/>
      <c r="Y7" s="12"/>
      <c r="Z7" s="12"/>
    </row>
    <row r="8" spans="2:26" ht="13.15" customHeight="1" x14ac:dyDescent="0.25">
      <c r="B8" s="13" t="str">
        <f>IF(VLOOKUP(C8,nst,6,FALSE)&gt;0,
 VLOOKUP(C8,nst,6,FALSE),"")</f>
        <v/>
      </c>
      <c r="C8" s="11" t="s">
        <v>27</v>
      </c>
      <c r="D8" s="11" t="s">
        <v>39</v>
      </c>
      <c r="H8" s="13" t="str">
        <f>IF(VLOOKUP(I8,nst,6,FALSE)&gt;0,
 VLOOKUP(I8,nst,6,FALSE),"")</f>
        <v/>
      </c>
      <c r="I8" s="11" t="s">
        <v>31</v>
      </c>
      <c r="J8" s="11" t="s">
        <v>43</v>
      </c>
      <c r="N8" s="12"/>
      <c r="O8" s="12"/>
      <c r="P8" s="12"/>
      <c r="Q8" s="12"/>
      <c r="R8" s="12"/>
      <c r="S8" s="12"/>
      <c r="T8" s="12"/>
      <c r="U8" s="12"/>
      <c r="V8" s="12"/>
      <c r="W8" s="12"/>
      <c r="X8" s="12"/>
      <c r="Y8" s="12"/>
      <c r="Z8" s="12"/>
    </row>
    <row r="9" spans="2:26" ht="13.15" customHeight="1" x14ac:dyDescent="0.25">
      <c r="B9" s="14"/>
      <c r="H9" s="14"/>
      <c r="N9" s="12"/>
      <c r="O9" s="12"/>
      <c r="P9" s="12"/>
      <c r="Q9" s="12"/>
      <c r="R9" s="12"/>
      <c r="S9" s="12"/>
      <c r="T9" s="12"/>
      <c r="U9" s="12"/>
      <c r="V9" s="12"/>
      <c r="W9" s="12"/>
      <c r="X9" s="12"/>
      <c r="Y9" s="12"/>
      <c r="Z9" s="12"/>
    </row>
    <row r="10" spans="2:26" ht="13.15" customHeight="1" x14ac:dyDescent="0.25">
      <c r="B10" s="13" t="str">
        <f>IF(VLOOKUP(C10,nst,6,FALSE)&gt;0,
 VLOOKUP(C10,nst,6,FALSE),"")</f>
        <v/>
      </c>
      <c r="C10" s="11" t="s">
        <v>28</v>
      </c>
      <c r="D10" s="11" t="s">
        <v>40</v>
      </c>
      <c r="H10" s="13" t="str">
        <f>IF(VLOOKUP(I10,nst,6,FALSE)&gt;0,
 VLOOKUP(I10,nst,6,FALSE),"")</f>
        <v/>
      </c>
      <c r="I10" s="11" t="s">
        <v>32</v>
      </c>
      <c r="J10" s="11" t="s">
        <v>44</v>
      </c>
      <c r="N10" s="12"/>
      <c r="O10" s="12"/>
      <c r="P10" s="12"/>
      <c r="Q10" s="12"/>
      <c r="R10" s="12"/>
      <c r="S10" s="12"/>
      <c r="T10" s="12"/>
      <c r="U10" s="12"/>
      <c r="V10" s="12"/>
      <c r="W10" s="12"/>
      <c r="X10" s="12"/>
      <c r="Y10" s="12"/>
      <c r="Z10" s="12"/>
    </row>
    <row r="11" spans="2:26" ht="13.15" customHeight="1" x14ac:dyDescent="0.2">
      <c r="B11" s="14"/>
      <c r="H11" s="14"/>
    </row>
    <row r="12" spans="2:26" ht="12" customHeight="1" x14ac:dyDescent="0.2">
      <c r="B12" s="13" t="str">
        <f>IF(VLOOKUP(C12,nst,6,FALSE)&gt;0,
 VLOOKUP(C12,nst,6,FALSE),"")</f>
        <v/>
      </c>
      <c r="C12" s="11" t="s">
        <v>29</v>
      </c>
      <c r="D12" s="11" t="s">
        <v>41</v>
      </c>
      <c r="H12" s="13" t="str">
        <f>IF(VLOOKUP(I12,nst,6,FALSE)&gt;0,
 VLOOKUP(I12,nst,6,FALSE),"")</f>
        <v/>
      </c>
      <c r="I12" s="11" t="s">
        <v>33</v>
      </c>
      <c r="J12" s="11" t="s">
        <v>45</v>
      </c>
      <c r="O12" s="15" t="str">
        <f>IF(Kyuprüfung,"X","")</f>
        <v/>
      </c>
      <c r="P12" s="16" t="s">
        <v>94</v>
      </c>
      <c r="Q12" s="16"/>
      <c r="U12" s="15" t="str">
        <f>IF(Danprüfung,"X","")</f>
        <v/>
      </c>
      <c r="V12" s="16" t="s">
        <v>95</v>
      </c>
    </row>
    <row r="13" spans="2:26" x14ac:dyDescent="0.2">
      <c r="B13" s="14"/>
      <c r="H13" s="14"/>
    </row>
    <row r="14" spans="2:26" x14ac:dyDescent="0.2">
      <c r="B14" s="138"/>
      <c r="C14" s="35"/>
      <c r="D14" s="35"/>
      <c r="E14" s="35"/>
      <c r="F14" s="35"/>
      <c r="G14" s="35"/>
      <c r="H14" s="138"/>
      <c r="N14" s="17" t="s">
        <v>52</v>
      </c>
      <c r="O14" s="17"/>
      <c r="P14" s="215">
        <f ca="1">TODAY()</f>
        <v>46048</v>
      </c>
      <c r="Q14" s="215"/>
      <c r="R14" s="17"/>
      <c r="S14" s="18" t="s">
        <v>53</v>
      </c>
      <c r="T14" s="81"/>
      <c r="U14" s="17" t="s">
        <v>54</v>
      </c>
      <c r="W14" s="18"/>
      <c r="X14" s="18" t="s">
        <v>55</v>
      </c>
      <c r="Y14" s="81"/>
      <c r="Z14" s="17" t="s">
        <v>54</v>
      </c>
    </row>
    <row r="15" spans="2:26" x14ac:dyDescent="0.2">
      <c r="B15" s="138"/>
      <c r="C15" s="35"/>
      <c r="D15" s="35"/>
      <c r="E15" s="35"/>
      <c r="F15" s="35"/>
      <c r="G15" s="35"/>
      <c r="H15" s="138"/>
      <c r="N15" s="17"/>
      <c r="O15" s="17"/>
      <c r="P15" s="17"/>
      <c r="Q15" s="17"/>
      <c r="R15" s="17"/>
      <c r="S15" s="17"/>
      <c r="T15" s="17"/>
      <c r="U15" s="17"/>
      <c r="V15" s="17"/>
      <c r="W15" s="17"/>
      <c r="X15" s="17"/>
      <c r="Y15" s="17"/>
      <c r="Z15" s="17"/>
    </row>
    <row r="16" spans="2:26" x14ac:dyDescent="0.2">
      <c r="B16" s="138"/>
      <c r="C16" s="35"/>
      <c r="D16" s="35"/>
      <c r="E16" s="35"/>
      <c r="F16" s="35"/>
      <c r="G16" s="35"/>
      <c r="H16" s="138"/>
      <c r="N16" s="17" t="s">
        <v>56</v>
      </c>
      <c r="O16" s="17"/>
      <c r="P16" s="17"/>
      <c r="Q16" s="17"/>
      <c r="R16" s="17"/>
      <c r="S16" s="211"/>
      <c r="T16" s="211"/>
      <c r="U16" s="211"/>
      <c r="V16" s="211"/>
      <c r="W16" s="211"/>
      <c r="X16" s="211"/>
      <c r="Y16" s="211"/>
      <c r="Z16" s="211"/>
    </row>
    <row r="17" spans="2:26" x14ac:dyDescent="0.2">
      <c r="N17" s="17"/>
      <c r="O17" s="17"/>
      <c r="P17" s="17"/>
      <c r="Q17" s="17"/>
      <c r="R17" s="17"/>
      <c r="S17" s="17"/>
      <c r="T17" s="17"/>
      <c r="U17" s="17"/>
      <c r="V17" s="17"/>
      <c r="W17" s="17"/>
      <c r="X17" s="17"/>
      <c r="Y17" s="17"/>
      <c r="Z17" s="17"/>
    </row>
    <row r="18" spans="2:26" x14ac:dyDescent="0.2">
      <c r="N18" s="17" t="s">
        <v>57</v>
      </c>
      <c r="O18" s="17"/>
      <c r="P18" s="17"/>
      <c r="Q18" s="17"/>
      <c r="R18" s="17"/>
      <c r="S18" s="212"/>
      <c r="T18" s="212"/>
      <c r="U18" s="212"/>
      <c r="V18" s="212"/>
      <c r="W18" s="212"/>
      <c r="X18" s="212"/>
      <c r="Y18" s="212"/>
      <c r="Z18" s="212"/>
    </row>
    <row r="19" spans="2:26" x14ac:dyDescent="0.2">
      <c r="B19" s="13" t="str">
        <f>IF(COUNTIF(Prüfungsliste!AX4:AX23,"NB")&gt;0,COUNTIF(Prüfungsliste!AX4:AX23,"NB"),"")</f>
        <v/>
      </c>
      <c r="C19" s="11" t="s">
        <v>46</v>
      </c>
    </row>
    <row r="21" spans="2:26" x14ac:dyDescent="0.2">
      <c r="B21" s="11" t="s">
        <v>47</v>
      </c>
      <c r="N21" s="11" t="s">
        <v>59</v>
      </c>
      <c r="S21" s="19" t="str">
        <f>IF(COUNTA(S23,S25,S27)&gt;0,COUNTA(S23,S25,S27),"")</f>
        <v/>
      </c>
    </row>
    <row r="23" spans="2:26" x14ac:dyDescent="0.2">
      <c r="B23" s="214"/>
      <c r="C23" s="214"/>
      <c r="D23" s="214"/>
      <c r="E23" s="214"/>
      <c r="F23" s="214"/>
      <c r="G23" s="214"/>
      <c r="H23" s="214"/>
      <c r="I23" s="214"/>
      <c r="J23" s="214"/>
      <c r="K23" s="214"/>
      <c r="N23" s="11" t="s">
        <v>60</v>
      </c>
      <c r="S23" s="208"/>
      <c r="T23" s="208"/>
      <c r="U23" s="208"/>
      <c r="V23" s="208"/>
      <c r="W23" s="208"/>
      <c r="Y23" s="203"/>
      <c r="Z23" s="11" t="s">
        <v>58</v>
      </c>
    </row>
    <row r="24" spans="2:26" x14ac:dyDescent="0.2">
      <c r="B24" s="214"/>
      <c r="C24" s="214"/>
      <c r="D24" s="214"/>
      <c r="E24" s="214"/>
      <c r="F24" s="214"/>
      <c r="G24" s="214"/>
      <c r="H24" s="214"/>
      <c r="I24" s="214"/>
      <c r="J24" s="214"/>
      <c r="K24" s="214"/>
    </row>
    <row r="25" spans="2:26" x14ac:dyDescent="0.2">
      <c r="B25" s="214"/>
      <c r="C25" s="214"/>
      <c r="D25" s="214"/>
      <c r="E25" s="214"/>
      <c r="F25" s="214"/>
      <c r="G25" s="214"/>
      <c r="H25" s="214"/>
      <c r="I25" s="214"/>
      <c r="J25" s="214"/>
      <c r="K25" s="214"/>
      <c r="S25" s="208"/>
      <c r="T25" s="208"/>
      <c r="U25" s="208"/>
      <c r="V25" s="208"/>
      <c r="W25" s="208"/>
      <c r="Y25" s="203"/>
      <c r="Z25" s="11" t="s">
        <v>58</v>
      </c>
    </row>
    <row r="26" spans="2:26" x14ac:dyDescent="0.2">
      <c r="B26" s="214"/>
      <c r="C26" s="214"/>
      <c r="D26" s="214"/>
      <c r="E26" s="214"/>
      <c r="F26" s="214"/>
      <c r="G26" s="214"/>
      <c r="H26" s="214"/>
      <c r="I26" s="214"/>
      <c r="J26" s="214"/>
      <c r="K26" s="214"/>
    </row>
    <row r="27" spans="2:26" x14ac:dyDescent="0.2">
      <c r="B27" s="214"/>
      <c r="C27" s="214"/>
      <c r="D27" s="214"/>
      <c r="E27" s="214"/>
      <c r="F27" s="214"/>
      <c r="G27" s="214"/>
      <c r="H27" s="214"/>
      <c r="I27" s="214"/>
      <c r="J27" s="214"/>
      <c r="K27" s="214"/>
      <c r="S27" s="208"/>
      <c r="T27" s="208"/>
      <c r="U27" s="208"/>
      <c r="V27" s="208"/>
      <c r="W27" s="208"/>
      <c r="Y27" s="203"/>
      <c r="Z27" s="11" t="s">
        <v>58</v>
      </c>
    </row>
    <row r="28" spans="2:26" x14ac:dyDescent="0.2">
      <c r="B28" s="214"/>
      <c r="C28" s="214"/>
      <c r="D28" s="214"/>
      <c r="E28" s="214"/>
      <c r="F28" s="214"/>
      <c r="G28" s="214"/>
      <c r="H28" s="214"/>
      <c r="I28" s="214"/>
      <c r="J28" s="214"/>
      <c r="K28" s="214"/>
    </row>
    <row r="29" spans="2:26" ht="19.149999999999999" customHeight="1" thickBot="1" x14ac:dyDescent="0.25">
      <c r="N29" s="20"/>
      <c r="O29" s="20"/>
      <c r="P29" s="20"/>
      <c r="Q29" s="20"/>
      <c r="R29" s="20"/>
      <c r="S29" s="20"/>
      <c r="T29" s="20"/>
      <c r="U29" s="20"/>
      <c r="V29" s="20"/>
      <c r="W29" s="20"/>
      <c r="X29" s="20"/>
      <c r="Y29" s="20"/>
      <c r="Z29" s="20"/>
    </row>
    <row r="30" spans="2:26" x14ac:dyDescent="0.2">
      <c r="B30" s="11" t="s">
        <v>48</v>
      </c>
      <c r="N30" s="17" t="s">
        <v>61</v>
      </c>
    </row>
    <row r="32" spans="2:26" x14ac:dyDescent="0.2">
      <c r="B32" s="214"/>
      <c r="C32" s="214"/>
      <c r="D32" s="214"/>
      <c r="E32" s="214"/>
      <c r="F32" s="214"/>
      <c r="G32" s="214"/>
      <c r="H32" s="214"/>
      <c r="I32" s="214"/>
      <c r="J32" s="214"/>
      <c r="K32" s="214"/>
      <c r="N32" s="17" t="s">
        <v>62</v>
      </c>
      <c r="O32" s="17"/>
      <c r="Q32" s="202"/>
    </row>
    <row r="33" spans="2:26" ht="13.15" customHeight="1" x14ac:dyDescent="0.2">
      <c r="B33" s="214"/>
      <c r="C33" s="214"/>
      <c r="D33" s="214"/>
      <c r="E33" s="214"/>
      <c r="F33" s="214"/>
      <c r="G33" s="214"/>
      <c r="H33" s="214"/>
      <c r="I33" s="214"/>
      <c r="J33" s="214"/>
      <c r="K33" s="214"/>
    </row>
    <row r="34" spans="2:26" x14ac:dyDescent="0.2">
      <c r="B34" s="214"/>
      <c r="C34" s="214"/>
      <c r="D34" s="214"/>
      <c r="E34" s="214"/>
      <c r="F34" s="214"/>
      <c r="G34" s="214"/>
      <c r="H34" s="214"/>
      <c r="I34" s="214"/>
      <c r="J34" s="214"/>
      <c r="K34" s="214"/>
      <c r="N34" s="11" t="s">
        <v>63</v>
      </c>
      <c r="R34" s="209"/>
      <c r="S34" s="209"/>
      <c r="U34" s="21" t="s">
        <v>64</v>
      </c>
      <c r="V34" s="209"/>
      <c r="W34" s="209"/>
      <c r="X34" s="209"/>
      <c r="Y34" s="209"/>
      <c r="Z34" s="209"/>
    </row>
    <row r="35" spans="2:26" x14ac:dyDescent="0.2">
      <c r="B35" s="214"/>
      <c r="C35" s="214"/>
      <c r="D35" s="214"/>
      <c r="E35" s="214"/>
      <c r="F35" s="214"/>
      <c r="G35" s="214"/>
      <c r="H35" s="214"/>
      <c r="I35" s="214"/>
      <c r="J35" s="214"/>
      <c r="K35" s="214"/>
    </row>
    <row r="36" spans="2:26" ht="27.6" customHeight="1" x14ac:dyDescent="0.2">
      <c r="B36" s="214"/>
      <c r="C36" s="214"/>
      <c r="D36" s="214"/>
      <c r="E36" s="214"/>
      <c r="F36" s="214"/>
      <c r="G36" s="214"/>
      <c r="H36" s="214"/>
      <c r="I36" s="214"/>
      <c r="J36" s="214"/>
      <c r="K36" s="214"/>
      <c r="N36" s="207" t="s">
        <v>65</v>
      </c>
      <c r="O36" s="207"/>
      <c r="P36" s="207"/>
      <c r="Q36" s="207"/>
      <c r="R36" s="207"/>
      <c r="S36" s="207"/>
      <c r="T36" s="207"/>
      <c r="U36" s="207"/>
      <c r="V36" s="207"/>
      <c r="W36" s="207"/>
      <c r="X36" s="207"/>
      <c r="Y36" s="207"/>
      <c r="Z36" s="207"/>
    </row>
    <row r="37" spans="2:26" x14ac:dyDescent="0.2">
      <c r="B37" s="214"/>
      <c r="C37" s="214"/>
      <c r="D37" s="214"/>
      <c r="E37" s="214"/>
      <c r="F37" s="214"/>
      <c r="G37" s="214"/>
      <c r="H37" s="214"/>
      <c r="I37" s="214"/>
      <c r="J37" s="214"/>
      <c r="K37" s="214"/>
    </row>
    <row r="38" spans="2:26" x14ac:dyDescent="0.2">
      <c r="B38" s="214"/>
      <c r="C38" s="214"/>
      <c r="D38" s="214"/>
      <c r="E38" s="214"/>
      <c r="F38" s="214"/>
      <c r="G38" s="214"/>
      <c r="H38" s="214"/>
      <c r="I38" s="214"/>
      <c r="J38" s="214"/>
      <c r="K38" s="214"/>
      <c r="N38" s="17" t="s">
        <v>66</v>
      </c>
      <c r="T38" s="204"/>
      <c r="U38" s="17" t="s">
        <v>96</v>
      </c>
    </row>
    <row r="39" spans="2:26" x14ac:dyDescent="0.2">
      <c r="B39" s="214"/>
      <c r="C39" s="214"/>
      <c r="D39" s="214"/>
      <c r="E39" s="214"/>
      <c r="F39" s="214"/>
      <c r="G39" s="214"/>
      <c r="H39" s="214"/>
      <c r="I39" s="214"/>
      <c r="J39" s="214"/>
      <c r="K39" s="214"/>
      <c r="U39" s="17"/>
    </row>
    <row r="40" spans="2:26" x14ac:dyDescent="0.2">
      <c r="B40" s="214"/>
      <c r="C40" s="214"/>
      <c r="D40" s="214"/>
      <c r="E40" s="214"/>
      <c r="F40" s="214"/>
      <c r="G40" s="214"/>
      <c r="H40" s="214"/>
      <c r="I40" s="214"/>
      <c r="J40" s="214"/>
      <c r="K40" s="214"/>
      <c r="T40" s="204"/>
      <c r="U40" s="17" t="s">
        <v>97</v>
      </c>
    </row>
    <row r="41" spans="2:26" x14ac:dyDescent="0.2">
      <c r="B41" s="214"/>
      <c r="C41" s="214"/>
      <c r="D41" s="214"/>
      <c r="E41" s="214"/>
      <c r="F41" s="214"/>
      <c r="G41" s="214"/>
      <c r="H41" s="214"/>
      <c r="I41" s="214"/>
      <c r="J41" s="214"/>
      <c r="K41" s="214"/>
      <c r="U41" s="17"/>
    </row>
    <row r="42" spans="2:26" x14ac:dyDescent="0.2">
      <c r="B42" s="214"/>
      <c r="C42" s="214"/>
      <c r="D42" s="214"/>
      <c r="E42" s="214"/>
      <c r="F42" s="214"/>
      <c r="G42" s="214"/>
      <c r="H42" s="214"/>
      <c r="I42" s="214"/>
      <c r="J42" s="214"/>
      <c r="K42" s="214"/>
      <c r="T42" s="204"/>
      <c r="U42" s="17" t="s">
        <v>98</v>
      </c>
    </row>
    <row r="43" spans="2:26" ht="15" customHeight="1" x14ac:dyDescent="0.2"/>
    <row r="44" spans="2:26" ht="27" customHeight="1" x14ac:dyDescent="0.2">
      <c r="N44" s="207" t="s">
        <v>102</v>
      </c>
      <c r="O44" s="207"/>
      <c r="P44" s="207"/>
      <c r="Q44" s="207"/>
      <c r="R44" s="207"/>
      <c r="S44" s="207"/>
      <c r="T44" s="207"/>
      <c r="U44" s="207"/>
      <c r="V44" s="207"/>
      <c r="W44" s="207"/>
      <c r="X44" s="207"/>
      <c r="Y44" s="207"/>
      <c r="Z44" s="207"/>
    </row>
    <row r="45" spans="2:26" x14ac:dyDescent="0.2">
      <c r="N45" s="22"/>
      <c r="O45" s="22"/>
      <c r="P45" s="22"/>
      <c r="Q45" s="22"/>
      <c r="R45" s="22"/>
      <c r="S45" s="22"/>
      <c r="T45" s="22"/>
      <c r="U45" s="22"/>
      <c r="V45" s="22"/>
      <c r="W45" s="22"/>
      <c r="X45" s="22"/>
      <c r="Y45" s="22"/>
      <c r="Z45" s="22"/>
    </row>
    <row r="46" spans="2:26" ht="39.6" customHeight="1" x14ac:dyDescent="0.2">
      <c r="B46" s="213" t="s">
        <v>49</v>
      </c>
      <c r="C46" s="213"/>
      <c r="D46" s="213"/>
      <c r="E46" s="213"/>
      <c r="F46" s="213"/>
      <c r="G46" s="213"/>
      <c r="H46" s="213"/>
      <c r="I46" s="213"/>
      <c r="J46" s="213"/>
      <c r="K46" s="213"/>
      <c r="N46" s="216" t="str">
        <f ca="1">CONCATENATE("Diese Prüfungsliste ist nach der Prüfung ausgefüllt - ggf. mit den Pässen, bis spätestens zwei Wochen nach dem Prüfungstermin (d.h. bis zum ", TEXT(DATE(YEAR(PTag),MONTH(PTag),DAY(PTag)+14),"T.M.JJ"), ") zurückzusenden.")</f>
        <v>Diese Prüfungsliste ist nach der Prüfung ausgefüllt - ggf. mit den Pässen, bis spätestens zwei Wochen nach dem Prüfungstermin (d.h. bis zum 9.2.26) zurückzusenden.</v>
      </c>
      <c r="O46" s="216"/>
      <c r="P46" s="216"/>
      <c r="Q46" s="216"/>
      <c r="R46" s="216"/>
      <c r="S46" s="216"/>
      <c r="T46" s="216"/>
      <c r="U46" s="216"/>
      <c r="V46" s="216"/>
      <c r="W46" s="216"/>
      <c r="X46" s="216"/>
      <c r="Y46" s="216"/>
      <c r="Z46" s="216"/>
    </row>
  </sheetData>
  <sheetProtection sheet="1" objects="1" scenarios="1"/>
  <mergeCells count="18">
    <mergeCell ref="B46:K46"/>
    <mergeCell ref="B32:K42"/>
    <mergeCell ref="P14:Q14"/>
    <mergeCell ref="R34:S34"/>
    <mergeCell ref="B23:K28"/>
    <mergeCell ref="S25:W25"/>
    <mergeCell ref="N46:Z46"/>
    <mergeCell ref="N44:Z44"/>
    <mergeCell ref="N1:Z1"/>
    <mergeCell ref="N3:Z3"/>
    <mergeCell ref="N5:Z5"/>
    <mergeCell ref="N36:Z36"/>
    <mergeCell ref="S27:W27"/>
    <mergeCell ref="V34:Z34"/>
    <mergeCell ref="N4:Z4"/>
    <mergeCell ref="S16:Z16"/>
    <mergeCell ref="S18:Z18"/>
    <mergeCell ref="S23:W23"/>
  </mergeCells>
  <phoneticPr fontId="3" type="noConversion"/>
  <pageMargins left="0.59055118110236227" right="0.59055118110236227" top="0.39370078740157483" bottom="0.39370078740157483" header="0.51181102362204722" footer="0.51181102362204722"/>
  <pageSetup paperSize="9" scale="78"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BA29"/>
  <sheetViews>
    <sheetView zoomScaleNormal="100" workbookViewId="0">
      <pane xSplit="2" ySplit="3" topLeftCell="C4" activePane="bottomRight" state="frozen"/>
      <selection pane="topRight" activeCell="C1" sqref="C1"/>
      <selection pane="bottomLeft" activeCell="A4" sqref="A4"/>
      <selection pane="bottomRight" activeCell="B4" sqref="B4"/>
    </sheetView>
  </sheetViews>
  <sheetFormatPr baseColWidth="10" defaultColWidth="11.5703125" defaultRowHeight="12.75" x14ac:dyDescent="0.2"/>
  <cols>
    <col min="1" max="1" width="2.7109375" style="11" customWidth="1"/>
    <col min="2" max="2" width="17.28515625" style="11" customWidth="1"/>
    <col min="3" max="3" width="12.85546875" style="11" customWidth="1"/>
    <col min="4" max="5" width="7.7109375" style="11" customWidth="1"/>
    <col min="6" max="7" width="6.140625" style="11" customWidth="1"/>
    <col min="8" max="38" width="2.7109375" style="11" customWidth="1"/>
    <col min="39" max="48" width="2.85546875" style="11" customWidth="1"/>
    <col min="49" max="49" width="3.28515625" style="11" customWidth="1"/>
    <col min="50" max="50" width="2.85546875" style="11" customWidth="1"/>
    <col min="51" max="51" width="6.140625" style="11" customWidth="1"/>
    <col min="52" max="16384" width="11.5703125" style="11"/>
  </cols>
  <sheetData>
    <row r="1" spans="1:53" ht="14.25" customHeight="1" thickBot="1" x14ac:dyDescent="0.25">
      <c r="A1" s="124"/>
      <c r="B1" s="125" t="str">
        <f ca="1">IF(PTag &lt;&gt; "",CONCATENATE("Datum: ", TEXT(PTag,"T.M.JJ")),"")</f>
        <v>Datum: 26.1.26</v>
      </c>
      <c r="C1" s="224"/>
      <c r="D1" s="224"/>
      <c r="E1" s="224"/>
      <c r="F1" s="24"/>
      <c r="G1" s="24"/>
      <c r="H1" s="23"/>
      <c r="I1" s="23"/>
      <c r="J1" s="23"/>
      <c r="K1" s="23"/>
      <c r="L1" s="23"/>
      <c r="M1" s="126" t="s">
        <v>13</v>
      </c>
      <c r="N1" s="23"/>
      <c r="O1" s="23"/>
      <c r="P1" s="23"/>
      <c r="Q1" s="23"/>
      <c r="R1" s="23"/>
      <c r="S1" s="23"/>
      <c r="T1" s="23"/>
      <c r="U1" s="23"/>
      <c r="V1" s="23"/>
      <c r="W1" s="23"/>
      <c r="X1" s="23"/>
      <c r="Y1" s="23"/>
      <c r="Z1" s="23"/>
      <c r="AA1" s="23"/>
      <c r="AB1" s="23"/>
      <c r="AC1" s="23"/>
      <c r="AD1" s="23"/>
      <c r="AE1" s="23"/>
      <c r="AF1" s="23"/>
      <c r="AG1" s="23"/>
      <c r="AH1" s="23"/>
      <c r="AI1" s="23"/>
      <c r="AJ1" s="23"/>
      <c r="AK1" s="23"/>
      <c r="AL1" s="23"/>
      <c r="AM1" s="127" t="s">
        <v>56</v>
      </c>
      <c r="AN1" s="23"/>
      <c r="AO1" s="23"/>
      <c r="AP1" s="231" t="str">
        <f>IF(Ausrichter&lt;&gt;"",Ausrichter,"")</f>
        <v/>
      </c>
      <c r="AQ1" s="231"/>
      <c r="AR1" s="231"/>
      <c r="AS1" s="231"/>
      <c r="AT1" s="231"/>
      <c r="AU1" s="231"/>
      <c r="AV1" s="231"/>
      <c r="AW1" s="231"/>
      <c r="AX1" s="231"/>
      <c r="AY1" s="232"/>
    </row>
    <row r="2" spans="1:53" ht="26.25" customHeight="1" x14ac:dyDescent="0.2">
      <c r="A2" s="239" t="s">
        <v>5</v>
      </c>
      <c r="B2" s="240" t="s">
        <v>6</v>
      </c>
      <c r="C2" s="240" t="s">
        <v>7</v>
      </c>
      <c r="D2" s="242" t="s">
        <v>8</v>
      </c>
      <c r="E2" s="229" t="s">
        <v>145</v>
      </c>
      <c r="F2" s="230"/>
      <c r="G2" s="244" t="s">
        <v>69</v>
      </c>
      <c r="H2" s="219" t="s">
        <v>150</v>
      </c>
      <c r="I2" s="219" t="s">
        <v>151</v>
      </c>
      <c r="J2" s="219" t="s">
        <v>152</v>
      </c>
      <c r="K2" s="219" t="s">
        <v>153</v>
      </c>
      <c r="L2" s="219" t="s">
        <v>154</v>
      </c>
      <c r="M2" s="221" t="s">
        <v>149</v>
      </c>
      <c r="N2" s="219" t="s">
        <v>155</v>
      </c>
      <c r="O2" s="219" t="s">
        <v>156</v>
      </c>
      <c r="P2" s="219" t="s">
        <v>157</v>
      </c>
      <c r="Q2" s="219" t="s">
        <v>158</v>
      </c>
      <c r="R2" s="219" t="s">
        <v>159</v>
      </c>
      <c r="S2" s="221" t="s">
        <v>149</v>
      </c>
      <c r="T2" s="219" t="s">
        <v>160</v>
      </c>
      <c r="U2" s="219" t="s">
        <v>161</v>
      </c>
      <c r="V2" s="219" t="s">
        <v>162</v>
      </c>
      <c r="W2" s="219" t="s">
        <v>163</v>
      </c>
      <c r="X2" s="219" t="s">
        <v>164</v>
      </c>
      <c r="Y2" s="219" t="s">
        <v>165</v>
      </c>
      <c r="Z2" s="219" t="s">
        <v>166</v>
      </c>
      <c r="AA2" s="221" t="s">
        <v>149</v>
      </c>
      <c r="AB2" s="219" t="s">
        <v>167</v>
      </c>
      <c r="AC2" s="219" t="s">
        <v>168</v>
      </c>
      <c r="AD2" s="221" t="s">
        <v>149</v>
      </c>
      <c r="AE2" s="219" t="s">
        <v>169</v>
      </c>
      <c r="AF2" s="219" t="s">
        <v>170</v>
      </c>
      <c r="AG2" s="219" t="s">
        <v>171</v>
      </c>
      <c r="AH2" s="221" t="s">
        <v>149</v>
      </c>
      <c r="AI2" s="235" t="s">
        <v>172</v>
      </c>
      <c r="AJ2" s="235" t="s">
        <v>173</v>
      </c>
      <c r="AK2" s="221" t="s">
        <v>149</v>
      </c>
      <c r="AL2" s="227" t="s">
        <v>148</v>
      </c>
      <c r="AM2" s="225" t="s">
        <v>1</v>
      </c>
      <c r="AN2" s="219" t="s">
        <v>0</v>
      </c>
      <c r="AO2" s="219" t="s">
        <v>14</v>
      </c>
      <c r="AP2" s="237" t="s">
        <v>15</v>
      </c>
      <c r="AQ2" s="225" t="s">
        <v>3</v>
      </c>
      <c r="AR2" s="237" t="s">
        <v>83</v>
      </c>
      <c r="AS2" s="225" t="s">
        <v>77</v>
      </c>
      <c r="AT2" s="219" t="s">
        <v>72</v>
      </c>
      <c r="AU2" s="219" t="s">
        <v>73</v>
      </c>
      <c r="AV2" s="219" t="s">
        <v>74</v>
      </c>
      <c r="AW2" s="219" t="s">
        <v>75</v>
      </c>
      <c r="AX2" s="237" t="s">
        <v>76</v>
      </c>
      <c r="AY2" s="233" t="s">
        <v>4</v>
      </c>
    </row>
    <row r="3" spans="1:53" ht="87.75" customHeight="1" thickBot="1" x14ac:dyDescent="0.25">
      <c r="A3" s="226"/>
      <c r="B3" s="241"/>
      <c r="C3" s="241"/>
      <c r="D3" s="243"/>
      <c r="E3" s="25" t="s">
        <v>12</v>
      </c>
      <c r="F3" s="26" t="s">
        <v>9</v>
      </c>
      <c r="G3" s="245"/>
      <c r="H3" s="220"/>
      <c r="I3" s="220"/>
      <c r="J3" s="220"/>
      <c r="K3" s="220"/>
      <c r="L3" s="220"/>
      <c r="M3" s="222"/>
      <c r="N3" s="220"/>
      <c r="O3" s="220"/>
      <c r="P3" s="220"/>
      <c r="Q3" s="220"/>
      <c r="R3" s="220"/>
      <c r="S3" s="222"/>
      <c r="T3" s="220"/>
      <c r="U3" s="220"/>
      <c r="V3" s="220"/>
      <c r="W3" s="220"/>
      <c r="X3" s="220"/>
      <c r="Y3" s="220"/>
      <c r="Z3" s="220"/>
      <c r="AA3" s="222"/>
      <c r="AB3" s="220"/>
      <c r="AC3" s="220"/>
      <c r="AD3" s="222"/>
      <c r="AE3" s="220"/>
      <c r="AF3" s="220"/>
      <c r="AG3" s="220"/>
      <c r="AH3" s="222"/>
      <c r="AI3" s="236"/>
      <c r="AJ3" s="236"/>
      <c r="AK3" s="222"/>
      <c r="AL3" s="228"/>
      <c r="AM3" s="226"/>
      <c r="AN3" s="223"/>
      <c r="AO3" s="223"/>
      <c r="AP3" s="238"/>
      <c r="AQ3" s="226"/>
      <c r="AR3" s="238"/>
      <c r="AS3" s="226"/>
      <c r="AT3" s="223"/>
      <c r="AU3" s="223"/>
      <c r="AV3" s="223"/>
      <c r="AW3" s="223"/>
      <c r="AX3" s="238"/>
      <c r="AY3" s="234"/>
    </row>
    <row r="4" spans="1:53" s="30" customFormat="1" ht="20.25" customHeight="1" x14ac:dyDescent="0.25">
      <c r="A4" s="27">
        <v>1</v>
      </c>
      <c r="B4" s="53"/>
      <c r="C4" s="54" t="str">
        <f t="shared" ref="C4:C21" si="0">IF(AND(B4&lt;&gt;"",Ausrichter&lt;&gt;""),Ausrichter,"")</f>
        <v/>
      </c>
      <c r="D4" s="55"/>
      <c r="E4" s="56"/>
      <c r="F4" s="57"/>
      <c r="G4" s="58" t="str">
        <f>ZE!B4</f>
        <v/>
      </c>
      <c r="H4" s="60"/>
      <c r="I4" s="61"/>
      <c r="J4" s="61"/>
      <c r="K4" s="61"/>
      <c r="L4" s="61"/>
      <c r="M4" s="144" t="str">
        <f>IF(COUNT(H4:L4)&gt;0,ROUND(SUM(H4:L4)/COUNT(H4:L4),0),"")</f>
        <v/>
      </c>
      <c r="N4" s="61"/>
      <c r="O4" s="60"/>
      <c r="P4" s="62"/>
      <c r="Q4" s="62"/>
      <c r="R4" s="62"/>
      <c r="S4" s="144" t="str">
        <f>IF(COUNT(N4:R4)&gt;0,ROUND(SUM(N4:R4)/COUNT(N4:R4),0),"")</f>
        <v/>
      </c>
      <c r="T4" s="62"/>
      <c r="U4" s="62"/>
      <c r="V4" s="62"/>
      <c r="W4" s="62"/>
      <c r="X4" s="62"/>
      <c r="Y4" s="62"/>
      <c r="Z4" s="62"/>
      <c r="AA4" s="146" t="str">
        <f>IF(COUNT(T4:Z4)&gt;0,ROUND(SUM(T4:Z4)/COUNT(T4:Z4),0),"")</f>
        <v/>
      </c>
      <c r="AB4" s="62"/>
      <c r="AC4" s="62"/>
      <c r="AD4" s="146" t="str">
        <f>IF(COUNT(AB4:AC4)&gt;0,ROUND(SUM(AB4:AC4)/COUNT(AB4:AC4),0),"")</f>
        <v/>
      </c>
      <c r="AE4" s="62"/>
      <c r="AF4" s="60"/>
      <c r="AG4" s="60"/>
      <c r="AH4" s="149" t="str">
        <f>IF(COUNT(AE4:AG4)&gt;0,ROUND(SUM(AE4:AG4)/COUNT(AE4:AG4),0),"")</f>
        <v/>
      </c>
      <c r="AI4" s="59"/>
      <c r="AJ4" s="59"/>
      <c r="AK4" s="149" t="str">
        <f t="shared" ref="AK4:AK23" si="1">IF(COUNT(AI4:AJ4)&gt;0,ROUND(SUM(AI4:AJ4)/COUNT(AI4:AJ4),0),"")</f>
        <v/>
      </c>
      <c r="AL4" s="151"/>
      <c r="AM4" s="63"/>
      <c r="AN4" s="64"/>
      <c r="AO4" s="64"/>
      <c r="AP4" s="65"/>
      <c r="AQ4" s="66" t="str">
        <f>IF(G4&lt;&gt;"",VLOOKUP(ZE!T4,pli,38,FALSE),"")</f>
        <v/>
      </c>
      <c r="AR4" s="86" t="str">
        <f>ZE!G4</f>
        <v/>
      </c>
      <c r="AS4" s="28" t="str">
        <f>IF(AND(G4&lt;&gt;"",COUNT(M4,S4,AA4,AD4,AH4,AK4)&gt;0),SUM(M4,S4,AA4,AD4,AH4,AK4,AL4),"")</f>
        <v/>
      </c>
      <c r="AT4" s="75"/>
      <c r="AU4" s="75"/>
      <c r="AV4" s="75"/>
      <c r="AW4" s="92" t="str">
        <f>IF(G4&lt;&gt;"",
 IF(ZE!F4=COUNT(M4,S4,AA4,AD4,AH4,AK4),
  IF(AQ4=1,
   AS4,
   IF(AND(AQ4=2,AT4&lt;&gt;""),
    AT4+AS4,
    "")),
  ""),
 "")</f>
        <v/>
      </c>
      <c r="AX4" s="78" t="str">
        <f>IF(ZE!I4,IF(ZE!K4,"B","NB"),"")</f>
        <v/>
      </c>
      <c r="AY4" s="29" t="str">
        <f t="shared" ref="AY4:AY23" si="2">IF(AX4&lt;&gt;"",IF(AX4="B",G4,"----"),"")</f>
        <v/>
      </c>
      <c r="AZ4" s="11"/>
      <c r="BA4" s="11"/>
    </row>
    <row r="5" spans="1:53" s="30" customFormat="1" ht="20.25" customHeight="1" x14ac:dyDescent="0.25">
      <c r="A5" s="31">
        <v>2</v>
      </c>
      <c r="B5" s="53"/>
      <c r="C5" s="54" t="str">
        <f>IF(AND(B5&lt;&gt;"",Ausrichter&lt;&gt;""),Ausrichter,"")</f>
        <v/>
      </c>
      <c r="D5" s="55"/>
      <c r="E5" s="56"/>
      <c r="F5" s="57"/>
      <c r="G5" s="58" t="str">
        <f>ZE!B5</f>
        <v/>
      </c>
      <c r="H5" s="68"/>
      <c r="I5" s="69"/>
      <c r="J5" s="69"/>
      <c r="K5" s="69"/>
      <c r="L5" s="69"/>
      <c r="M5" s="145" t="str">
        <f t="shared" ref="M5:M23" si="3">IF(COUNT(H5:L5)&gt;0,ROUND(SUM(H5:L5)/COUNT(H5:L5),0),"")</f>
        <v/>
      </c>
      <c r="N5" s="69"/>
      <c r="O5" s="68"/>
      <c r="P5" s="70"/>
      <c r="Q5" s="70"/>
      <c r="R5" s="70"/>
      <c r="S5" s="147" t="str">
        <f t="shared" ref="S5:S23" si="4">IF(COUNT(N5:R5)&gt;0,ROUND(SUM(N5:R5)/COUNT(N5:R5),0),"")</f>
        <v/>
      </c>
      <c r="T5" s="70"/>
      <c r="U5" s="70"/>
      <c r="V5" s="70"/>
      <c r="W5" s="70"/>
      <c r="X5" s="70"/>
      <c r="Y5" s="70"/>
      <c r="Z5" s="70"/>
      <c r="AA5" s="147" t="str">
        <f t="shared" ref="AA5:AA23" si="5">IF(COUNT(T5:Z5)&gt;0,ROUND(SUM(T5:Z5)/COUNT(T5:Z5),0),"")</f>
        <v/>
      </c>
      <c r="AB5" s="70"/>
      <c r="AC5" s="70"/>
      <c r="AD5" s="147" t="str">
        <f t="shared" ref="AD5:AD23" si="6">IF(COUNT(AB5:AC5)&gt;0,ROUND(SUM(AB5:AC5)/COUNT(AB5:AC5),0),"")</f>
        <v/>
      </c>
      <c r="AE5" s="70"/>
      <c r="AF5" s="68"/>
      <c r="AG5" s="68"/>
      <c r="AH5" s="150" t="str">
        <f t="shared" ref="AH5:AH23" si="7">IF(COUNT(AE5:AG5)&gt;0,ROUND(SUM(AE5:AG5)/COUNT(AE5:AG5),0),"")</f>
        <v/>
      </c>
      <c r="AI5" s="67"/>
      <c r="AJ5" s="67"/>
      <c r="AK5" s="150" t="str">
        <f t="shared" si="1"/>
        <v/>
      </c>
      <c r="AL5" s="152"/>
      <c r="AM5" s="71"/>
      <c r="AN5" s="72"/>
      <c r="AO5" s="72"/>
      <c r="AP5" s="73"/>
      <c r="AQ5" s="66" t="str">
        <f>IF(G5&lt;&gt;"",VLOOKUP(ZE!T5,pli,38,FALSE),"")</f>
        <v/>
      </c>
      <c r="AR5" s="87" t="str">
        <f>ZE!G5</f>
        <v/>
      </c>
      <c r="AS5" s="32" t="str">
        <f t="shared" ref="AS5:AS23" si="8">IF(AND(G5&lt;&gt;"",COUNT(M5,S5,AA5,AD5,AH5,AK5)&gt;0),SUM(M5,S5,AA5,AD5,AH5,AK5,AL5),"")</f>
        <v/>
      </c>
      <c r="AT5" s="76"/>
      <c r="AU5" s="76"/>
      <c r="AV5" s="76"/>
      <c r="AW5" s="92" t="str">
        <f>IF(G5&lt;&gt;"",
 IF(ZE!F5=COUNT(M5,S5,AA5,AD5,AH5,AK5),
  IF(AQ5=1,
   AS5,
   IF(AND(AQ5=2,AT5&lt;&gt;""),
    AT5+AS5,
    "")),
  ""),
 "")</f>
        <v/>
      </c>
      <c r="AX5" s="79" t="str">
        <f>IF(ZE!I5,IF(ZE!K5,"B","NB"),"")</f>
        <v/>
      </c>
      <c r="AY5" s="33" t="str">
        <f t="shared" si="2"/>
        <v/>
      </c>
      <c r="AZ5" s="11"/>
      <c r="BA5" s="11"/>
    </row>
    <row r="6" spans="1:53" s="30" customFormat="1" ht="20.25" customHeight="1" x14ac:dyDescent="0.25">
      <c r="A6" s="31">
        <v>3</v>
      </c>
      <c r="B6" s="53"/>
      <c r="C6" s="54" t="str">
        <f t="shared" ref="C6:C7" si="9">IF(AND(B6&lt;&gt;"",Ausrichter&lt;&gt;""),Ausrichter,"")</f>
        <v/>
      </c>
      <c r="D6" s="55"/>
      <c r="E6" s="56"/>
      <c r="F6" s="57"/>
      <c r="G6" s="58" t="str">
        <f>ZE!B6</f>
        <v/>
      </c>
      <c r="H6" s="68"/>
      <c r="I6" s="74"/>
      <c r="J6" s="69"/>
      <c r="K6" s="69"/>
      <c r="L6" s="69"/>
      <c r="M6" s="145" t="str">
        <f t="shared" si="3"/>
        <v/>
      </c>
      <c r="N6" s="69"/>
      <c r="O6" s="68"/>
      <c r="P6" s="70"/>
      <c r="Q6" s="70"/>
      <c r="R6" s="70"/>
      <c r="S6" s="147" t="str">
        <f t="shared" si="4"/>
        <v/>
      </c>
      <c r="T6" s="70"/>
      <c r="U6" s="70"/>
      <c r="V6" s="70"/>
      <c r="W6" s="70"/>
      <c r="X6" s="70"/>
      <c r="Y6" s="70"/>
      <c r="Z6" s="70"/>
      <c r="AA6" s="147" t="str">
        <f t="shared" si="5"/>
        <v/>
      </c>
      <c r="AB6" s="70"/>
      <c r="AC6" s="70"/>
      <c r="AD6" s="147" t="str">
        <f t="shared" si="6"/>
        <v/>
      </c>
      <c r="AE6" s="70"/>
      <c r="AF6" s="68"/>
      <c r="AG6" s="68"/>
      <c r="AH6" s="150" t="str">
        <f t="shared" si="7"/>
        <v/>
      </c>
      <c r="AI6" s="67"/>
      <c r="AJ6" s="67"/>
      <c r="AK6" s="150" t="str">
        <f t="shared" si="1"/>
        <v/>
      </c>
      <c r="AL6" s="152"/>
      <c r="AM6" s="71"/>
      <c r="AN6" s="72"/>
      <c r="AO6" s="72"/>
      <c r="AP6" s="73"/>
      <c r="AQ6" s="66" t="str">
        <f>IF(G6&lt;&gt;"",VLOOKUP(ZE!T6,pli,38,FALSE),"")</f>
        <v/>
      </c>
      <c r="AR6" s="87" t="str">
        <f>ZE!G6</f>
        <v/>
      </c>
      <c r="AS6" s="32" t="str">
        <f t="shared" si="8"/>
        <v/>
      </c>
      <c r="AT6" s="76"/>
      <c r="AU6" s="76"/>
      <c r="AV6" s="76"/>
      <c r="AW6" s="92" t="str">
        <f>IF(G6&lt;&gt;"",
 IF(ZE!F6=COUNT(M6,S6,AA6,AD6,AH6,AK6),
  IF(AQ6=1,
   AS6,
   IF(AND(AQ6=2,AT6&lt;&gt;""),
    AT6+AS6,
    "")),
  ""),
 "")</f>
        <v/>
      </c>
      <c r="AX6" s="79" t="str">
        <f>IF(ZE!I6,IF(ZE!K6,"B","NB"),"")</f>
        <v/>
      </c>
      <c r="AY6" s="33" t="str">
        <f t="shared" si="2"/>
        <v/>
      </c>
      <c r="AZ6" s="11"/>
      <c r="BA6" s="11"/>
    </row>
    <row r="7" spans="1:53" s="30" customFormat="1" ht="20.25" customHeight="1" x14ac:dyDescent="0.25">
      <c r="A7" s="31">
        <v>4</v>
      </c>
      <c r="B7" s="53"/>
      <c r="C7" s="54" t="str">
        <f t="shared" si="9"/>
        <v/>
      </c>
      <c r="D7" s="55"/>
      <c r="E7" s="56"/>
      <c r="F7" s="57"/>
      <c r="G7" s="58" t="str">
        <f>ZE!B7</f>
        <v/>
      </c>
      <c r="H7" s="68"/>
      <c r="I7" s="69"/>
      <c r="J7" s="69"/>
      <c r="K7" s="69"/>
      <c r="L7" s="69"/>
      <c r="M7" s="145" t="str">
        <f t="shared" si="3"/>
        <v/>
      </c>
      <c r="N7" s="69"/>
      <c r="O7" s="68"/>
      <c r="P7" s="70"/>
      <c r="Q7" s="70"/>
      <c r="R7" s="68"/>
      <c r="S7" s="148" t="str">
        <f t="shared" si="4"/>
        <v/>
      </c>
      <c r="T7" s="68"/>
      <c r="U7" s="68"/>
      <c r="V7" s="68"/>
      <c r="W7" s="68"/>
      <c r="X7" s="68"/>
      <c r="Y7" s="68"/>
      <c r="Z7" s="68"/>
      <c r="AA7" s="148" t="str">
        <f t="shared" si="5"/>
        <v/>
      </c>
      <c r="AB7" s="68"/>
      <c r="AC7" s="68"/>
      <c r="AD7" s="148" t="str">
        <f t="shared" si="6"/>
        <v/>
      </c>
      <c r="AE7" s="68"/>
      <c r="AF7" s="68"/>
      <c r="AG7" s="68"/>
      <c r="AH7" s="150" t="str">
        <f t="shared" si="7"/>
        <v/>
      </c>
      <c r="AI7" s="67"/>
      <c r="AJ7" s="67"/>
      <c r="AK7" s="150" t="str">
        <f t="shared" si="1"/>
        <v/>
      </c>
      <c r="AL7" s="152"/>
      <c r="AM7" s="71"/>
      <c r="AN7" s="72"/>
      <c r="AO7" s="72"/>
      <c r="AP7" s="73"/>
      <c r="AQ7" s="66" t="str">
        <f>IF(G7&lt;&gt;"",VLOOKUP(ZE!T7,pli,38,FALSE),"")</f>
        <v/>
      </c>
      <c r="AR7" s="88" t="str">
        <f>ZE!G7</f>
        <v/>
      </c>
      <c r="AS7" s="34" t="str">
        <f t="shared" si="8"/>
        <v/>
      </c>
      <c r="AT7" s="77"/>
      <c r="AU7" s="77"/>
      <c r="AV7" s="77"/>
      <c r="AW7" s="92" t="str">
        <f>IF(G7&lt;&gt;"",
 IF(ZE!F7=COUNT(M7,S7,AA7,AD7,AH7,AK7),
  IF(AQ7=1,
   AS7,
   IF(AND(AQ7=2,AT7&lt;&gt;""),
    AT7+AS7,
    "")),
  ""),
 "")</f>
        <v/>
      </c>
      <c r="AX7" s="80" t="str">
        <f>IF(ZE!I7,IF(ZE!K7,"B","NB"),"")</f>
        <v/>
      </c>
      <c r="AY7" s="33" t="str">
        <f t="shared" si="2"/>
        <v/>
      </c>
      <c r="AZ7" s="11"/>
      <c r="BA7" s="11"/>
    </row>
    <row r="8" spans="1:53" s="30" customFormat="1" ht="20.25" customHeight="1" x14ac:dyDescent="0.25">
      <c r="A8" s="31">
        <v>5</v>
      </c>
      <c r="B8" s="53"/>
      <c r="C8" s="54" t="str">
        <f>IF(AND(B8&lt;&gt;"",Ausrichter&lt;&gt;""),Ausrichter,"")</f>
        <v/>
      </c>
      <c r="D8" s="55"/>
      <c r="E8" s="56"/>
      <c r="F8" s="57"/>
      <c r="G8" s="58" t="str">
        <f>ZE!B8</f>
        <v/>
      </c>
      <c r="H8" s="68"/>
      <c r="I8" s="69"/>
      <c r="J8" s="69"/>
      <c r="K8" s="69"/>
      <c r="L8" s="69"/>
      <c r="M8" s="145" t="str">
        <f t="shared" si="3"/>
        <v/>
      </c>
      <c r="N8" s="69"/>
      <c r="O8" s="68"/>
      <c r="P8" s="70"/>
      <c r="Q8" s="70"/>
      <c r="R8" s="68"/>
      <c r="S8" s="148" t="str">
        <f t="shared" si="4"/>
        <v/>
      </c>
      <c r="T8" s="68"/>
      <c r="U8" s="68"/>
      <c r="V8" s="68"/>
      <c r="W8" s="68"/>
      <c r="X8" s="68"/>
      <c r="Y8" s="68"/>
      <c r="Z8" s="68"/>
      <c r="AA8" s="148" t="str">
        <f t="shared" si="5"/>
        <v/>
      </c>
      <c r="AB8" s="68"/>
      <c r="AC8" s="68"/>
      <c r="AD8" s="148" t="str">
        <f t="shared" si="6"/>
        <v/>
      </c>
      <c r="AE8" s="68"/>
      <c r="AF8" s="68"/>
      <c r="AG8" s="68"/>
      <c r="AH8" s="150" t="str">
        <f t="shared" si="7"/>
        <v/>
      </c>
      <c r="AI8" s="67"/>
      <c r="AJ8" s="67"/>
      <c r="AK8" s="150" t="str">
        <f t="shared" si="1"/>
        <v/>
      </c>
      <c r="AL8" s="152"/>
      <c r="AM8" s="71"/>
      <c r="AN8" s="72"/>
      <c r="AO8" s="72"/>
      <c r="AP8" s="73"/>
      <c r="AQ8" s="66" t="str">
        <f>IF(G8&lt;&gt;"",VLOOKUP(ZE!T8,pli,38,FALSE),"")</f>
        <v/>
      </c>
      <c r="AR8" s="88" t="str">
        <f>ZE!G8</f>
        <v/>
      </c>
      <c r="AS8" s="34" t="str">
        <f t="shared" si="8"/>
        <v/>
      </c>
      <c r="AT8" s="77"/>
      <c r="AU8" s="77"/>
      <c r="AV8" s="77"/>
      <c r="AW8" s="92" t="str">
        <f>IF(G8&lt;&gt;"",
 IF(ZE!F8=COUNT(M8,S8,AA8,AD8,AH8,AK8),
  IF(AQ8=1,
   AS8,
   IF(AND(AQ8=2,AT8&lt;&gt;""),
    AT8+AS8,
    "")),
  ""),
 "")</f>
        <v/>
      </c>
      <c r="AX8" s="80" t="str">
        <f>IF(ZE!I8,IF(ZE!K8,"B","NB"),"")</f>
        <v/>
      </c>
      <c r="AY8" s="33" t="str">
        <f t="shared" si="2"/>
        <v/>
      </c>
      <c r="AZ8" s="11"/>
      <c r="BA8" s="11"/>
    </row>
    <row r="9" spans="1:53" s="30" customFormat="1" ht="20.25" customHeight="1" x14ac:dyDescent="0.25">
      <c r="A9" s="31">
        <v>6</v>
      </c>
      <c r="B9" s="53"/>
      <c r="C9" s="54" t="str">
        <f>IF(AND(B9&lt;&gt;"",Ausrichter&lt;&gt;""),Ausrichter,"")</f>
        <v/>
      </c>
      <c r="D9" s="55"/>
      <c r="E9" s="56"/>
      <c r="F9" s="57"/>
      <c r="G9" s="58" t="str">
        <f>ZE!B9</f>
        <v/>
      </c>
      <c r="H9" s="68"/>
      <c r="I9" s="69"/>
      <c r="J9" s="69"/>
      <c r="K9" s="69"/>
      <c r="L9" s="69"/>
      <c r="M9" s="145" t="str">
        <f t="shared" si="3"/>
        <v/>
      </c>
      <c r="N9" s="69"/>
      <c r="O9" s="68"/>
      <c r="P9" s="70"/>
      <c r="Q9" s="70"/>
      <c r="R9" s="68"/>
      <c r="S9" s="148" t="str">
        <f t="shared" si="4"/>
        <v/>
      </c>
      <c r="T9" s="68"/>
      <c r="U9" s="68"/>
      <c r="V9" s="68"/>
      <c r="W9" s="68"/>
      <c r="X9" s="68"/>
      <c r="Y9" s="68"/>
      <c r="Z9" s="68"/>
      <c r="AA9" s="148" t="str">
        <f t="shared" si="5"/>
        <v/>
      </c>
      <c r="AB9" s="68"/>
      <c r="AC9" s="68"/>
      <c r="AD9" s="148" t="str">
        <f t="shared" si="6"/>
        <v/>
      </c>
      <c r="AE9" s="68"/>
      <c r="AF9" s="68"/>
      <c r="AG9" s="68"/>
      <c r="AH9" s="150" t="str">
        <f t="shared" si="7"/>
        <v/>
      </c>
      <c r="AI9" s="67"/>
      <c r="AJ9" s="67"/>
      <c r="AK9" s="150" t="str">
        <f t="shared" si="1"/>
        <v/>
      </c>
      <c r="AL9" s="152"/>
      <c r="AM9" s="71"/>
      <c r="AN9" s="72"/>
      <c r="AO9" s="72"/>
      <c r="AP9" s="73"/>
      <c r="AQ9" s="66" t="str">
        <f>IF(G9&lt;&gt;"",VLOOKUP(ZE!T9,pli,38,FALSE),"")</f>
        <v/>
      </c>
      <c r="AR9" s="88" t="str">
        <f>ZE!G9</f>
        <v/>
      </c>
      <c r="AS9" s="34" t="str">
        <f t="shared" si="8"/>
        <v/>
      </c>
      <c r="AT9" s="77"/>
      <c r="AU9" s="77"/>
      <c r="AV9" s="77"/>
      <c r="AW9" s="92" t="str">
        <f>IF(G9&lt;&gt;"",
 IF(ZE!F9=COUNT(M9,S9,AA9,AD9,AH9,AK9),
  IF(AQ9=1,
   AS9,
   IF(AND(AQ9=2,AT9&lt;&gt;""),
    AT9+AS9,
    "")),
  ""),
 "")</f>
        <v/>
      </c>
      <c r="AX9" s="80" t="str">
        <f>IF(ZE!I9,IF(ZE!K9,"B","NB"),"")</f>
        <v/>
      </c>
      <c r="AY9" s="33" t="str">
        <f t="shared" si="2"/>
        <v/>
      </c>
      <c r="AZ9" s="11"/>
      <c r="BA9" s="11"/>
    </row>
    <row r="10" spans="1:53" s="36" customFormat="1" ht="20.25" customHeight="1" x14ac:dyDescent="0.25">
      <c r="A10" s="31">
        <v>7</v>
      </c>
      <c r="B10" s="53"/>
      <c r="C10" s="54" t="str">
        <f t="shared" si="0"/>
        <v/>
      </c>
      <c r="D10" s="55"/>
      <c r="E10" s="56"/>
      <c r="F10" s="57"/>
      <c r="G10" s="58" t="str">
        <f>ZE!B10</f>
        <v/>
      </c>
      <c r="H10" s="68"/>
      <c r="I10" s="69"/>
      <c r="J10" s="69"/>
      <c r="K10" s="69"/>
      <c r="L10" s="69"/>
      <c r="M10" s="145" t="str">
        <f t="shared" si="3"/>
        <v/>
      </c>
      <c r="N10" s="69"/>
      <c r="O10" s="68"/>
      <c r="P10" s="70"/>
      <c r="Q10" s="68"/>
      <c r="R10" s="68"/>
      <c r="S10" s="148" t="str">
        <f t="shared" si="4"/>
        <v/>
      </c>
      <c r="T10" s="68"/>
      <c r="U10" s="68"/>
      <c r="V10" s="68"/>
      <c r="W10" s="68"/>
      <c r="X10" s="68"/>
      <c r="Y10" s="68"/>
      <c r="Z10" s="68"/>
      <c r="AA10" s="148" t="str">
        <f t="shared" si="5"/>
        <v/>
      </c>
      <c r="AB10" s="68"/>
      <c r="AC10" s="68"/>
      <c r="AD10" s="148" t="str">
        <f t="shared" si="6"/>
        <v/>
      </c>
      <c r="AE10" s="68"/>
      <c r="AF10" s="68"/>
      <c r="AG10" s="68"/>
      <c r="AH10" s="150" t="str">
        <f t="shared" si="7"/>
        <v/>
      </c>
      <c r="AI10" s="67"/>
      <c r="AJ10" s="67"/>
      <c r="AK10" s="150" t="str">
        <f t="shared" si="1"/>
        <v/>
      </c>
      <c r="AL10" s="152"/>
      <c r="AM10" s="71"/>
      <c r="AN10" s="72"/>
      <c r="AO10" s="72"/>
      <c r="AP10" s="73"/>
      <c r="AQ10" s="66" t="str">
        <f>IF(G10&lt;&gt;"",VLOOKUP(ZE!T10,pli,38,FALSE),"")</f>
        <v/>
      </c>
      <c r="AR10" s="88" t="str">
        <f>ZE!G10</f>
        <v/>
      </c>
      <c r="AS10" s="34" t="str">
        <f t="shared" si="8"/>
        <v/>
      </c>
      <c r="AT10" s="77"/>
      <c r="AU10" s="77"/>
      <c r="AV10" s="77"/>
      <c r="AW10" s="92" t="str">
        <f>IF(G10&lt;&gt;"",
 IF(ZE!F10=COUNT(M10,S10,AA10,AD10,AH10,AK10),
  IF(AQ10=1,
   AS10,
   IF(AND(AQ10=2,AT10&lt;&gt;""),
    AT10+AS10,
    "")),
  ""),
 "")</f>
        <v/>
      </c>
      <c r="AX10" s="80" t="str">
        <f>IF(ZE!I10,IF(ZE!K10,"B","NB"),"")</f>
        <v/>
      </c>
      <c r="AY10" s="33" t="str">
        <f t="shared" si="2"/>
        <v/>
      </c>
      <c r="AZ10" s="35"/>
      <c r="BA10" s="35"/>
    </row>
    <row r="11" spans="1:53" s="36" customFormat="1" ht="20.25" customHeight="1" x14ac:dyDescent="0.25">
      <c r="A11" s="31">
        <v>8</v>
      </c>
      <c r="B11" s="53"/>
      <c r="C11" s="54" t="str">
        <f t="shared" si="0"/>
        <v/>
      </c>
      <c r="D11" s="55"/>
      <c r="E11" s="56"/>
      <c r="F11" s="57"/>
      <c r="G11" s="58" t="str">
        <f>ZE!B11</f>
        <v/>
      </c>
      <c r="H11" s="68"/>
      <c r="I11" s="69"/>
      <c r="J11" s="69"/>
      <c r="K11" s="69"/>
      <c r="L11" s="69"/>
      <c r="M11" s="145" t="str">
        <f t="shared" si="3"/>
        <v/>
      </c>
      <c r="N11" s="69"/>
      <c r="O11" s="68"/>
      <c r="P11" s="70"/>
      <c r="Q11" s="68"/>
      <c r="R11" s="68"/>
      <c r="S11" s="148" t="str">
        <f t="shared" si="4"/>
        <v/>
      </c>
      <c r="T11" s="68"/>
      <c r="U11" s="68"/>
      <c r="V11" s="68"/>
      <c r="W11" s="68"/>
      <c r="X11" s="68"/>
      <c r="Y11" s="68"/>
      <c r="Z11" s="68"/>
      <c r="AA11" s="148" t="str">
        <f t="shared" si="5"/>
        <v/>
      </c>
      <c r="AB11" s="68"/>
      <c r="AC11" s="68"/>
      <c r="AD11" s="148" t="str">
        <f t="shared" si="6"/>
        <v/>
      </c>
      <c r="AE11" s="68"/>
      <c r="AF11" s="68"/>
      <c r="AG11" s="68"/>
      <c r="AH11" s="150" t="str">
        <f t="shared" si="7"/>
        <v/>
      </c>
      <c r="AI11" s="67"/>
      <c r="AJ11" s="67"/>
      <c r="AK11" s="150" t="str">
        <f t="shared" si="1"/>
        <v/>
      </c>
      <c r="AL11" s="152"/>
      <c r="AM11" s="71"/>
      <c r="AN11" s="72"/>
      <c r="AO11" s="72"/>
      <c r="AP11" s="73"/>
      <c r="AQ11" s="66" t="str">
        <f>IF(G11&lt;&gt;"",VLOOKUP(ZE!T11,pli,38,FALSE),"")</f>
        <v/>
      </c>
      <c r="AR11" s="88" t="str">
        <f>ZE!G11</f>
        <v/>
      </c>
      <c r="AS11" s="34" t="str">
        <f t="shared" si="8"/>
        <v/>
      </c>
      <c r="AT11" s="77"/>
      <c r="AU11" s="77"/>
      <c r="AV11" s="77"/>
      <c r="AW11" s="92" t="str">
        <f>IF(G11&lt;&gt;"",
 IF(ZE!F11=COUNT(M11,S11,AA11,AD11,AH11,AK11),
  IF(AQ11=1,
   AS11,
   IF(AND(AQ11=2,AT11&lt;&gt;""),
    AT11+AS11,
    "")),
  ""),
 "")</f>
        <v/>
      </c>
      <c r="AX11" s="80" t="str">
        <f>IF(ZE!I11,IF(ZE!K11,"B","NB"),"")</f>
        <v/>
      </c>
      <c r="AY11" s="33" t="str">
        <f t="shared" si="2"/>
        <v/>
      </c>
      <c r="AZ11" s="35"/>
      <c r="BA11" s="35"/>
    </row>
    <row r="12" spans="1:53" s="36" customFormat="1" ht="20.25" customHeight="1" x14ac:dyDescent="0.25">
      <c r="A12" s="31">
        <v>9</v>
      </c>
      <c r="B12" s="53"/>
      <c r="C12" s="54" t="str">
        <f t="shared" si="0"/>
        <v/>
      </c>
      <c r="D12" s="55"/>
      <c r="E12" s="56"/>
      <c r="F12" s="57"/>
      <c r="G12" s="58" t="str">
        <f>ZE!B12</f>
        <v/>
      </c>
      <c r="H12" s="68"/>
      <c r="I12" s="69"/>
      <c r="J12" s="69"/>
      <c r="K12" s="69"/>
      <c r="L12" s="69"/>
      <c r="M12" s="145" t="str">
        <f t="shared" si="3"/>
        <v/>
      </c>
      <c r="N12" s="69"/>
      <c r="O12" s="68"/>
      <c r="P12" s="70"/>
      <c r="Q12" s="68"/>
      <c r="R12" s="68"/>
      <c r="S12" s="148" t="str">
        <f t="shared" si="4"/>
        <v/>
      </c>
      <c r="T12" s="68"/>
      <c r="U12" s="68"/>
      <c r="V12" s="68"/>
      <c r="W12" s="68"/>
      <c r="X12" s="68"/>
      <c r="Y12" s="68"/>
      <c r="Z12" s="68"/>
      <c r="AA12" s="148" t="str">
        <f t="shared" si="5"/>
        <v/>
      </c>
      <c r="AB12" s="68"/>
      <c r="AC12" s="68"/>
      <c r="AD12" s="148" t="str">
        <f t="shared" si="6"/>
        <v/>
      </c>
      <c r="AE12" s="68"/>
      <c r="AF12" s="68"/>
      <c r="AG12" s="68"/>
      <c r="AH12" s="150" t="str">
        <f t="shared" si="7"/>
        <v/>
      </c>
      <c r="AI12" s="67"/>
      <c r="AJ12" s="67"/>
      <c r="AK12" s="150" t="str">
        <f t="shared" si="1"/>
        <v/>
      </c>
      <c r="AL12" s="152"/>
      <c r="AM12" s="71"/>
      <c r="AN12" s="72"/>
      <c r="AO12" s="72"/>
      <c r="AP12" s="73"/>
      <c r="AQ12" s="66" t="str">
        <f>IF(G12&lt;&gt;"",VLOOKUP(ZE!T12,pli,38,FALSE),"")</f>
        <v/>
      </c>
      <c r="AR12" s="88" t="str">
        <f>ZE!G12</f>
        <v/>
      </c>
      <c r="AS12" s="34" t="str">
        <f t="shared" si="8"/>
        <v/>
      </c>
      <c r="AT12" s="77"/>
      <c r="AU12" s="77"/>
      <c r="AV12" s="77"/>
      <c r="AW12" s="92" t="str">
        <f>IF(G12&lt;&gt;"",
 IF(ZE!F12=COUNT(M12,S12,AA12,AD12,AH12,AK12),
  IF(AQ12=1,
   AS12,
   IF(AND(AQ12=2,AT12&lt;&gt;""),
    AT12+AS12,
    "")),
  ""),
 "")</f>
        <v/>
      </c>
      <c r="AX12" s="80" t="str">
        <f>IF(ZE!I12,IF(ZE!K12,"B","NB"),"")</f>
        <v/>
      </c>
      <c r="AY12" s="33" t="str">
        <f t="shared" si="2"/>
        <v/>
      </c>
      <c r="AZ12" s="35"/>
      <c r="BA12" s="35"/>
    </row>
    <row r="13" spans="1:53" s="36" customFormat="1" ht="20.25" customHeight="1" x14ac:dyDescent="0.25">
      <c r="A13" s="31">
        <v>10</v>
      </c>
      <c r="B13" s="53"/>
      <c r="C13" s="54" t="str">
        <f t="shared" si="0"/>
        <v/>
      </c>
      <c r="D13" s="55"/>
      <c r="E13" s="56"/>
      <c r="F13" s="57"/>
      <c r="G13" s="58" t="str">
        <f>ZE!B13</f>
        <v/>
      </c>
      <c r="H13" s="68"/>
      <c r="I13" s="69"/>
      <c r="J13" s="69"/>
      <c r="K13" s="69"/>
      <c r="L13" s="69"/>
      <c r="M13" s="145" t="str">
        <f t="shared" si="3"/>
        <v/>
      </c>
      <c r="N13" s="69"/>
      <c r="O13" s="68"/>
      <c r="P13" s="68"/>
      <c r="Q13" s="68"/>
      <c r="R13" s="68"/>
      <c r="S13" s="148" t="str">
        <f t="shared" si="4"/>
        <v/>
      </c>
      <c r="T13" s="68"/>
      <c r="U13" s="68"/>
      <c r="V13" s="68"/>
      <c r="W13" s="68"/>
      <c r="X13" s="68"/>
      <c r="Y13" s="68"/>
      <c r="Z13" s="68"/>
      <c r="AA13" s="148" t="str">
        <f t="shared" si="5"/>
        <v/>
      </c>
      <c r="AB13" s="68"/>
      <c r="AC13" s="68"/>
      <c r="AD13" s="148" t="str">
        <f t="shared" si="6"/>
        <v/>
      </c>
      <c r="AE13" s="68"/>
      <c r="AF13" s="68"/>
      <c r="AG13" s="68"/>
      <c r="AH13" s="150" t="str">
        <f t="shared" si="7"/>
        <v/>
      </c>
      <c r="AI13" s="67"/>
      <c r="AJ13" s="67"/>
      <c r="AK13" s="150" t="str">
        <f t="shared" si="1"/>
        <v/>
      </c>
      <c r="AL13" s="152"/>
      <c r="AM13" s="71"/>
      <c r="AN13" s="72"/>
      <c r="AO13" s="72"/>
      <c r="AP13" s="73"/>
      <c r="AQ13" s="66" t="str">
        <f>IF(G13&lt;&gt;"",VLOOKUP(ZE!T13,pli,38,FALSE),"")</f>
        <v/>
      </c>
      <c r="AR13" s="88" t="str">
        <f>ZE!G13</f>
        <v/>
      </c>
      <c r="AS13" s="34" t="str">
        <f t="shared" si="8"/>
        <v/>
      </c>
      <c r="AT13" s="77"/>
      <c r="AU13" s="77"/>
      <c r="AV13" s="77"/>
      <c r="AW13" s="92" t="str">
        <f>IF(G13&lt;&gt;"",
 IF(ZE!F13=COUNT(M13,S13,AA13,AD13,AH13,AK13),
  IF(AQ13=1,
   AS13,
   IF(AND(AQ13=2,AT13&lt;&gt;""),
    AT13+AS13,
    "")),
  ""),
 "")</f>
        <v/>
      </c>
      <c r="AX13" s="80" t="str">
        <f>IF(ZE!I13,IF(ZE!K13,"B","NB"),"")</f>
        <v/>
      </c>
      <c r="AY13" s="33" t="str">
        <f t="shared" si="2"/>
        <v/>
      </c>
      <c r="AZ13" s="35"/>
      <c r="BA13" s="35"/>
    </row>
    <row r="14" spans="1:53" s="36" customFormat="1" ht="20.25" customHeight="1" x14ac:dyDescent="0.25">
      <c r="A14" s="31">
        <v>11</v>
      </c>
      <c r="B14" s="53"/>
      <c r="C14" s="54" t="str">
        <f t="shared" si="0"/>
        <v/>
      </c>
      <c r="D14" s="55"/>
      <c r="E14" s="56"/>
      <c r="F14" s="57"/>
      <c r="G14" s="58" t="str">
        <f>ZE!B14</f>
        <v/>
      </c>
      <c r="H14" s="68"/>
      <c r="I14" s="69"/>
      <c r="J14" s="69"/>
      <c r="K14" s="69"/>
      <c r="L14" s="69"/>
      <c r="M14" s="145" t="str">
        <f t="shared" si="3"/>
        <v/>
      </c>
      <c r="N14" s="69"/>
      <c r="O14" s="68"/>
      <c r="P14" s="68"/>
      <c r="Q14" s="68"/>
      <c r="R14" s="68"/>
      <c r="S14" s="148" t="str">
        <f t="shared" si="4"/>
        <v/>
      </c>
      <c r="T14" s="68"/>
      <c r="U14" s="68"/>
      <c r="V14" s="68"/>
      <c r="W14" s="68"/>
      <c r="X14" s="68"/>
      <c r="Y14" s="68"/>
      <c r="Z14" s="68"/>
      <c r="AA14" s="148" t="str">
        <f t="shared" si="5"/>
        <v/>
      </c>
      <c r="AB14" s="68"/>
      <c r="AC14" s="68"/>
      <c r="AD14" s="148" t="str">
        <f t="shared" si="6"/>
        <v/>
      </c>
      <c r="AE14" s="68"/>
      <c r="AF14" s="68"/>
      <c r="AG14" s="68"/>
      <c r="AH14" s="150" t="str">
        <f t="shared" si="7"/>
        <v/>
      </c>
      <c r="AI14" s="67"/>
      <c r="AJ14" s="67"/>
      <c r="AK14" s="150" t="str">
        <f t="shared" si="1"/>
        <v/>
      </c>
      <c r="AL14" s="152"/>
      <c r="AM14" s="71"/>
      <c r="AN14" s="72"/>
      <c r="AO14" s="72"/>
      <c r="AP14" s="73"/>
      <c r="AQ14" s="66" t="str">
        <f>IF(G14&lt;&gt;"",VLOOKUP(ZE!T14,pli,38,FALSE),"")</f>
        <v/>
      </c>
      <c r="AR14" s="88" t="str">
        <f>ZE!G14</f>
        <v/>
      </c>
      <c r="AS14" s="34" t="str">
        <f t="shared" si="8"/>
        <v/>
      </c>
      <c r="AT14" s="77"/>
      <c r="AU14" s="77"/>
      <c r="AV14" s="77"/>
      <c r="AW14" s="92" t="str">
        <f>IF(G14&lt;&gt;"",
 IF(ZE!F14=COUNT(M14,S14,AA14,AD14,AH14,AK14),
  IF(AQ14=1,
   AS14,
   IF(AND(AQ14=2,AT14&lt;&gt;""),
    AT14+AS14,
    "")),
  ""),
 "")</f>
        <v/>
      </c>
      <c r="AX14" s="80" t="str">
        <f>IF(ZE!I14,IF(ZE!K14,"B","NB"),"")</f>
        <v/>
      </c>
      <c r="AY14" s="33" t="str">
        <f t="shared" si="2"/>
        <v/>
      </c>
      <c r="AZ14" s="35"/>
      <c r="BA14" s="35"/>
    </row>
    <row r="15" spans="1:53" s="36" customFormat="1" ht="20.25" customHeight="1" x14ac:dyDescent="0.25">
      <c r="A15" s="31">
        <v>12</v>
      </c>
      <c r="B15" s="53"/>
      <c r="C15" s="54" t="str">
        <f t="shared" si="0"/>
        <v/>
      </c>
      <c r="D15" s="55"/>
      <c r="E15" s="56"/>
      <c r="F15" s="57"/>
      <c r="G15" s="58" t="str">
        <f>ZE!B15</f>
        <v/>
      </c>
      <c r="H15" s="68"/>
      <c r="I15" s="69"/>
      <c r="J15" s="69"/>
      <c r="K15" s="69"/>
      <c r="L15" s="69"/>
      <c r="M15" s="145" t="str">
        <f t="shared" si="3"/>
        <v/>
      </c>
      <c r="N15" s="69"/>
      <c r="O15" s="68"/>
      <c r="P15" s="68"/>
      <c r="Q15" s="68"/>
      <c r="R15" s="68"/>
      <c r="S15" s="148" t="str">
        <f t="shared" si="4"/>
        <v/>
      </c>
      <c r="T15" s="68"/>
      <c r="U15" s="68"/>
      <c r="V15" s="68"/>
      <c r="W15" s="68"/>
      <c r="X15" s="68"/>
      <c r="Y15" s="68"/>
      <c r="Z15" s="68"/>
      <c r="AA15" s="148" t="str">
        <f t="shared" si="5"/>
        <v/>
      </c>
      <c r="AB15" s="68"/>
      <c r="AC15" s="68"/>
      <c r="AD15" s="148" t="str">
        <f t="shared" si="6"/>
        <v/>
      </c>
      <c r="AE15" s="68"/>
      <c r="AF15" s="68"/>
      <c r="AG15" s="68"/>
      <c r="AH15" s="150" t="str">
        <f t="shared" si="7"/>
        <v/>
      </c>
      <c r="AI15" s="67"/>
      <c r="AJ15" s="67"/>
      <c r="AK15" s="150" t="str">
        <f t="shared" si="1"/>
        <v/>
      </c>
      <c r="AL15" s="152"/>
      <c r="AM15" s="71"/>
      <c r="AN15" s="72"/>
      <c r="AO15" s="72"/>
      <c r="AP15" s="73"/>
      <c r="AQ15" s="66" t="str">
        <f>IF(G15&lt;&gt;"",VLOOKUP(ZE!T15,pli,38,FALSE),"")</f>
        <v/>
      </c>
      <c r="AR15" s="88" t="str">
        <f>ZE!G15</f>
        <v/>
      </c>
      <c r="AS15" s="34" t="str">
        <f t="shared" si="8"/>
        <v/>
      </c>
      <c r="AT15" s="77"/>
      <c r="AU15" s="77"/>
      <c r="AV15" s="77"/>
      <c r="AW15" s="92" t="str">
        <f>IF(G15&lt;&gt;"",
 IF(ZE!F15=COUNT(M15,S15,AA15,AD15,AH15,AK15),
  IF(AQ15=1,
   AS15,
   IF(AND(AQ15=2,AT15&lt;&gt;""),
    AT15+AS15,
    "")),
  ""),
 "")</f>
        <v/>
      </c>
      <c r="AX15" s="80" t="str">
        <f>IF(ZE!I15,IF(ZE!K15,"B","NB"),"")</f>
        <v/>
      </c>
      <c r="AY15" s="33" t="str">
        <f t="shared" si="2"/>
        <v/>
      </c>
      <c r="AZ15" s="35"/>
      <c r="BA15" s="35"/>
    </row>
    <row r="16" spans="1:53" s="36" customFormat="1" ht="20.25" customHeight="1" x14ac:dyDescent="0.25">
      <c r="A16" s="31">
        <v>13</v>
      </c>
      <c r="B16" s="53"/>
      <c r="C16" s="54" t="str">
        <f t="shared" si="0"/>
        <v/>
      </c>
      <c r="D16" s="55"/>
      <c r="E16" s="56"/>
      <c r="F16" s="57"/>
      <c r="G16" s="58" t="str">
        <f>ZE!B16</f>
        <v/>
      </c>
      <c r="H16" s="68"/>
      <c r="I16" s="69"/>
      <c r="J16" s="69"/>
      <c r="K16" s="69"/>
      <c r="L16" s="69"/>
      <c r="M16" s="145" t="str">
        <f t="shared" si="3"/>
        <v/>
      </c>
      <c r="N16" s="69"/>
      <c r="O16" s="68"/>
      <c r="P16" s="68"/>
      <c r="Q16" s="68"/>
      <c r="R16" s="68"/>
      <c r="S16" s="148" t="str">
        <f t="shared" si="4"/>
        <v/>
      </c>
      <c r="T16" s="68"/>
      <c r="U16" s="68"/>
      <c r="V16" s="68"/>
      <c r="W16" s="68"/>
      <c r="X16" s="68"/>
      <c r="Y16" s="68"/>
      <c r="Z16" s="68"/>
      <c r="AA16" s="148" t="str">
        <f t="shared" si="5"/>
        <v/>
      </c>
      <c r="AB16" s="68"/>
      <c r="AC16" s="68"/>
      <c r="AD16" s="148" t="str">
        <f t="shared" si="6"/>
        <v/>
      </c>
      <c r="AE16" s="68"/>
      <c r="AF16" s="68"/>
      <c r="AG16" s="68"/>
      <c r="AH16" s="150" t="str">
        <f t="shared" si="7"/>
        <v/>
      </c>
      <c r="AI16" s="67"/>
      <c r="AJ16" s="67"/>
      <c r="AK16" s="150" t="str">
        <f t="shared" si="1"/>
        <v/>
      </c>
      <c r="AL16" s="152"/>
      <c r="AM16" s="71"/>
      <c r="AN16" s="72"/>
      <c r="AO16" s="72"/>
      <c r="AP16" s="73"/>
      <c r="AQ16" s="66" t="str">
        <f>IF(G16&lt;&gt;"",VLOOKUP(ZE!T16,pli,38,FALSE),"")</f>
        <v/>
      </c>
      <c r="AR16" s="88" t="str">
        <f>ZE!G16</f>
        <v/>
      </c>
      <c r="AS16" s="34" t="str">
        <f t="shared" si="8"/>
        <v/>
      </c>
      <c r="AT16" s="77"/>
      <c r="AU16" s="77"/>
      <c r="AV16" s="77"/>
      <c r="AW16" s="92" t="str">
        <f>IF(G16&lt;&gt;"",
 IF(ZE!F16=COUNT(M16,S16,AA16,AD16,AH16,AK16),
  IF(AQ16=1,
   AS16,
   IF(AND(AQ16=2,AT16&lt;&gt;""),
    AT16+AS16,
    "")),
  ""),
 "")</f>
        <v/>
      </c>
      <c r="AX16" s="80" t="str">
        <f>IF(ZE!I16,IF(ZE!K16,"B","NB"),"")</f>
        <v/>
      </c>
      <c r="AY16" s="33" t="str">
        <f t="shared" si="2"/>
        <v/>
      </c>
      <c r="AZ16" s="35"/>
      <c r="BA16" s="35"/>
    </row>
    <row r="17" spans="1:53" s="36" customFormat="1" ht="20.25" customHeight="1" x14ac:dyDescent="0.25">
      <c r="A17" s="31">
        <v>14</v>
      </c>
      <c r="B17" s="53"/>
      <c r="C17" s="54" t="str">
        <f t="shared" si="0"/>
        <v/>
      </c>
      <c r="D17" s="55"/>
      <c r="E17" s="56"/>
      <c r="F17" s="57"/>
      <c r="G17" s="58" t="str">
        <f>ZE!B17</f>
        <v/>
      </c>
      <c r="H17" s="68"/>
      <c r="I17" s="69"/>
      <c r="J17" s="69"/>
      <c r="K17" s="69"/>
      <c r="L17" s="69"/>
      <c r="M17" s="145" t="str">
        <f t="shared" si="3"/>
        <v/>
      </c>
      <c r="N17" s="69"/>
      <c r="O17" s="68"/>
      <c r="P17" s="68"/>
      <c r="Q17" s="68"/>
      <c r="R17" s="68"/>
      <c r="S17" s="148" t="str">
        <f t="shared" si="4"/>
        <v/>
      </c>
      <c r="T17" s="68"/>
      <c r="U17" s="68"/>
      <c r="V17" s="68"/>
      <c r="W17" s="68"/>
      <c r="X17" s="68"/>
      <c r="Y17" s="68"/>
      <c r="Z17" s="68"/>
      <c r="AA17" s="148" t="str">
        <f t="shared" si="5"/>
        <v/>
      </c>
      <c r="AB17" s="68"/>
      <c r="AC17" s="68"/>
      <c r="AD17" s="148" t="str">
        <f t="shared" si="6"/>
        <v/>
      </c>
      <c r="AE17" s="68"/>
      <c r="AF17" s="68"/>
      <c r="AG17" s="68"/>
      <c r="AH17" s="150" t="str">
        <f t="shared" si="7"/>
        <v/>
      </c>
      <c r="AI17" s="67"/>
      <c r="AJ17" s="67"/>
      <c r="AK17" s="150" t="str">
        <f t="shared" si="1"/>
        <v/>
      </c>
      <c r="AL17" s="152"/>
      <c r="AM17" s="71"/>
      <c r="AN17" s="72"/>
      <c r="AO17" s="72"/>
      <c r="AP17" s="73"/>
      <c r="AQ17" s="66" t="str">
        <f>IF(G17&lt;&gt;"",VLOOKUP(ZE!T17,pli,38,FALSE),"")</f>
        <v/>
      </c>
      <c r="AR17" s="88" t="str">
        <f>ZE!G17</f>
        <v/>
      </c>
      <c r="AS17" s="34" t="str">
        <f t="shared" si="8"/>
        <v/>
      </c>
      <c r="AT17" s="77"/>
      <c r="AU17" s="77"/>
      <c r="AV17" s="77"/>
      <c r="AW17" s="92" t="str">
        <f>IF(G17&lt;&gt;"",
 IF(ZE!F17=COUNT(M17,S17,AA17,AD17,AH17,AK17),
  IF(AQ17=1,
   AS17,
   IF(AND(AQ17=2,AT17&lt;&gt;""),
    AT17+AS17,
    "")),
  ""),
 "")</f>
        <v/>
      </c>
      <c r="AX17" s="80" t="str">
        <f>IF(ZE!I17,IF(ZE!K17,"B","NB"),"")</f>
        <v/>
      </c>
      <c r="AY17" s="33" t="str">
        <f t="shared" si="2"/>
        <v/>
      </c>
      <c r="AZ17" s="35"/>
      <c r="BA17" s="35"/>
    </row>
    <row r="18" spans="1:53" s="36" customFormat="1" ht="20.25" customHeight="1" x14ac:dyDescent="0.25">
      <c r="A18" s="31">
        <v>15</v>
      </c>
      <c r="B18" s="53"/>
      <c r="C18" s="54" t="str">
        <f t="shared" si="0"/>
        <v/>
      </c>
      <c r="D18" s="55"/>
      <c r="E18" s="56"/>
      <c r="F18" s="57"/>
      <c r="G18" s="58" t="str">
        <f>ZE!B18</f>
        <v/>
      </c>
      <c r="H18" s="68"/>
      <c r="I18" s="69"/>
      <c r="J18" s="69"/>
      <c r="K18" s="69"/>
      <c r="L18" s="69"/>
      <c r="M18" s="145" t="str">
        <f t="shared" si="3"/>
        <v/>
      </c>
      <c r="N18" s="69"/>
      <c r="O18" s="68"/>
      <c r="P18" s="68"/>
      <c r="Q18" s="68"/>
      <c r="R18" s="68"/>
      <c r="S18" s="148" t="str">
        <f t="shared" si="4"/>
        <v/>
      </c>
      <c r="T18" s="68"/>
      <c r="U18" s="68"/>
      <c r="V18" s="68"/>
      <c r="W18" s="68"/>
      <c r="X18" s="68"/>
      <c r="Y18" s="68"/>
      <c r="Z18" s="68"/>
      <c r="AA18" s="148" t="str">
        <f t="shared" si="5"/>
        <v/>
      </c>
      <c r="AB18" s="68"/>
      <c r="AC18" s="68"/>
      <c r="AD18" s="148" t="str">
        <f t="shared" si="6"/>
        <v/>
      </c>
      <c r="AE18" s="68"/>
      <c r="AF18" s="68"/>
      <c r="AG18" s="68"/>
      <c r="AH18" s="150" t="str">
        <f t="shared" si="7"/>
        <v/>
      </c>
      <c r="AI18" s="67"/>
      <c r="AJ18" s="67"/>
      <c r="AK18" s="150" t="str">
        <f t="shared" si="1"/>
        <v/>
      </c>
      <c r="AL18" s="152"/>
      <c r="AM18" s="71"/>
      <c r="AN18" s="72"/>
      <c r="AO18" s="72"/>
      <c r="AP18" s="73"/>
      <c r="AQ18" s="66" t="str">
        <f>IF(G18&lt;&gt;"",VLOOKUP(ZE!T18,pli,38,FALSE),"")</f>
        <v/>
      </c>
      <c r="AR18" s="88" t="str">
        <f>ZE!G18</f>
        <v/>
      </c>
      <c r="AS18" s="34" t="str">
        <f t="shared" si="8"/>
        <v/>
      </c>
      <c r="AT18" s="77"/>
      <c r="AU18" s="77"/>
      <c r="AV18" s="77"/>
      <c r="AW18" s="92" t="str">
        <f>IF(G18&lt;&gt;"",
 IF(ZE!F18=COUNT(M18,S18,AA18,AD18,AH18,AK18),
  IF(AQ18=1,
   AS18,
   IF(AND(AQ18=2,AT18&lt;&gt;""),
    AT18+AS18,
    "")),
  ""),
 "")</f>
        <v/>
      </c>
      <c r="AX18" s="80" t="str">
        <f>IF(ZE!I18,IF(ZE!K18,"B","NB"),"")</f>
        <v/>
      </c>
      <c r="AY18" s="33" t="str">
        <f t="shared" si="2"/>
        <v/>
      </c>
      <c r="AZ18" s="35"/>
      <c r="BA18" s="35"/>
    </row>
    <row r="19" spans="1:53" s="36" customFormat="1" ht="20.25" customHeight="1" x14ac:dyDescent="0.25">
      <c r="A19" s="31">
        <v>16</v>
      </c>
      <c r="B19" s="53"/>
      <c r="C19" s="54" t="str">
        <f t="shared" si="0"/>
        <v/>
      </c>
      <c r="D19" s="55"/>
      <c r="E19" s="56"/>
      <c r="F19" s="57"/>
      <c r="G19" s="58" t="str">
        <f>ZE!B19</f>
        <v/>
      </c>
      <c r="H19" s="68"/>
      <c r="I19" s="69"/>
      <c r="J19" s="69"/>
      <c r="K19" s="69"/>
      <c r="L19" s="69"/>
      <c r="M19" s="145" t="str">
        <f t="shared" si="3"/>
        <v/>
      </c>
      <c r="N19" s="69"/>
      <c r="O19" s="68"/>
      <c r="P19" s="68"/>
      <c r="Q19" s="68"/>
      <c r="R19" s="68"/>
      <c r="S19" s="148" t="str">
        <f t="shared" si="4"/>
        <v/>
      </c>
      <c r="T19" s="68"/>
      <c r="U19" s="68"/>
      <c r="V19" s="68"/>
      <c r="W19" s="68"/>
      <c r="X19" s="68"/>
      <c r="Y19" s="68"/>
      <c r="Z19" s="68"/>
      <c r="AA19" s="148" t="str">
        <f t="shared" si="5"/>
        <v/>
      </c>
      <c r="AB19" s="68"/>
      <c r="AC19" s="68"/>
      <c r="AD19" s="148" t="str">
        <f t="shared" si="6"/>
        <v/>
      </c>
      <c r="AE19" s="68"/>
      <c r="AF19" s="68"/>
      <c r="AG19" s="68"/>
      <c r="AH19" s="150" t="str">
        <f t="shared" si="7"/>
        <v/>
      </c>
      <c r="AI19" s="67"/>
      <c r="AJ19" s="67"/>
      <c r="AK19" s="150" t="str">
        <f t="shared" si="1"/>
        <v/>
      </c>
      <c r="AL19" s="152"/>
      <c r="AM19" s="71"/>
      <c r="AN19" s="72"/>
      <c r="AO19" s="72"/>
      <c r="AP19" s="73"/>
      <c r="AQ19" s="66" t="str">
        <f>IF(G19&lt;&gt;"",VLOOKUP(ZE!T19,pli,38,FALSE),"")</f>
        <v/>
      </c>
      <c r="AR19" s="88" t="str">
        <f>ZE!G19</f>
        <v/>
      </c>
      <c r="AS19" s="34" t="str">
        <f t="shared" si="8"/>
        <v/>
      </c>
      <c r="AT19" s="77"/>
      <c r="AU19" s="77"/>
      <c r="AV19" s="77"/>
      <c r="AW19" s="92" t="str">
        <f>IF(G19&lt;&gt;"",
 IF(ZE!F19=COUNT(M19,S19,AA19,AD19,AH19,AK19),
  IF(AQ19=1,
   AS19,
   IF(AND(AQ19=2,AT19&lt;&gt;""),
    AT19+AS19,
    "")),
  ""),
 "")</f>
        <v/>
      </c>
      <c r="AX19" s="80" t="str">
        <f>IF(ZE!I19,IF(ZE!K19,"B","NB"),"")</f>
        <v/>
      </c>
      <c r="AY19" s="33" t="str">
        <f t="shared" si="2"/>
        <v/>
      </c>
      <c r="AZ19" s="35"/>
      <c r="BA19" s="35"/>
    </row>
    <row r="20" spans="1:53" s="36" customFormat="1" ht="20.25" customHeight="1" x14ac:dyDescent="0.25">
      <c r="A20" s="31">
        <v>17</v>
      </c>
      <c r="B20" s="53"/>
      <c r="C20" s="54" t="str">
        <f t="shared" si="0"/>
        <v/>
      </c>
      <c r="D20" s="55"/>
      <c r="E20" s="56"/>
      <c r="F20" s="57"/>
      <c r="G20" s="58" t="str">
        <f>ZE!B20</f>
        <v/>
      </c>
      <c r="H20" s="68"/>
      <c r="I20" s="69"/>
      <c r="J20" s="69"/>
      <c r="K20" s="69"/>
      <c r="L20" s="69"/>
      <c r="M20" s="145" t="str">
        <f t="shared" si="3"/>
        <v/>
      </c>
      <c r="N20" s="69"/>
      <c r="O20" s="68"/>
      <c r="P20" s="68"/>
      <c r="Q20" s="68"/>
      <c r="R20" s="68"/>
      <c r="S20" s="148" t="str">
        <f t="shared" si="4"/>
        <v/>
      </c>
      <c r="T20" s="68"/>
      <c r="U20" s="68"/>
      <c r="V20" s="68"/>
      <c r="W20" s="68"/>
      <c r="X20" s="68"/>
      <c r="Y20" s="68"/>
      <c r="Z20" s="68"/>
      <c r="AA20" s="148" t="str">
        <f t="shared" si="5"/>
        <v/>
      </c>
      <c r="AB20" s="68"/>
      <c r="AC20" s="68"/>
      <c r="AD20" s="148" t="str">
        <f t="shared" si="6"/>
        <v/>
      </c>
      <c r="AE20" s="68"/>
      <c r="AF20" s="68"/>
      <c r="AG20" s="68"/>
      <c r="AH20" s="150" t="str">
        <f t="shared" si="7"/>
        <v/>
      </c>
      <c r="AI20" s="67"/>
      <c r="AJ20" s="67"/>
      <c r="AK20" s="150" t="str">
        <f t="shared" si="1"/>
        <v/>
      </c>
      <c r="AL20" s="152"/>
      <c r="AM20" s="71"/>
      <c r="AN20" s="72"/>
      <c r="AO20" s="72"/>
      <c r="AP20" s="73"/>
      <c r="AQ20" s="66" t="str">
        <f>IF(G20&lt;&gt;"",VLOOKUP(ZE!T20,pli,38,FALSE),"")</f>
        <v/>
      </c>
      <c r="AR20" s="88" t="str">
        <f>ZE!G20</f>
        <v/>
      </c>
      <c r="AS20" s="34" t="str">
        <f t="shared" si="8"/>
        <v/>
      </c>
      <c r="AT20" s="77"/>
      <c r="AU20" s="77"/>
      <c r="AV20" s="77"/>
      <c r="AW20" s="92" t="str">
        <f>IF(G20&lt;&gt;"",
 IF(ZE!F20=COUNT(M20,S20,AA20,AD20,AH20,AK20),
  IF(AQ20=1,
   AS20,
   IF(AND(AQ20=2,AT20&lt;&gt;""),
    AT20+AS20,
    "")),
  ""),
 "")</f>
        <v/>
      </c>
      <c r="AX20" s="80" t="str">
        <f>IF(ZE!I20,IF(ZE!K20,"B","NB"),"")</f>
        <v/>
      </c>
      <c r="AY20" s="33" t="str">
        <f t="shared" si="2"/>
        <v/>
      </c>
      <c r="AZ20" s="35"/>
      <c r="BA20" s="35"/>
    </row>
    <row r="21" spans="1:53" s="36" customFormat="1" ht="20.25" customHeight="1" x14ac:dyDescent="0.25">
      <c r="A21" s="31">
        <v>18</v>
      </c>
      <c r="B21" s="53"/>
      <c r="C21" s="54" t="str">
        <f t="shared" si="0"/>
        <v/>
      </c>
      <c r="D21" s="55"/>
      <c r="E21" s="56"/>
      <c r="F21" s="57"/>
      <c r="G21" s="58" t="str">
        <f>ZE!B21</f>
        <v/>
      </c>
      <c r="H21" s="68"/>
      <c r="I21" s="69"/>
      <c r="J21" s="69"/>
      <c r="K21" s="69"/>
      <c r="L21" s="69"/>
      <c r="M21" s="145" t="str">
        <f t="shared" si="3"/>
        <v/>
      </c>
      <c r="N21" s="69"/>
      <c r="O21" s="68"/>
      <c r="P21" s="68"/>
      <c r="Q21" s="68"/>
      <c r="R21" s="68"/>
      <c r="S21" s="148" t="str">
        <f t="shared" si="4"/>
        <v/>
      </c>
      <c r="T21" s="68"/>
      <c r="U21" s="68"/>
      <c r="V21" s="68"/>
      <c r="W21" s="68"/>
      <c r="X21" s="68"/>
      <c r="Y21" s="68"/>
      <c r="Z21" s="68"/>
      <c r="AA21" s="148" t="str">
        <f t="shared" si="5"/>
        <v/>
      </c>
      <c r="AB21" s="68"/>
      <c r="AC21" s="68"/>
      <c r="AD21" s="148" t="str">
        <f t="shared" si="6"/>
        <v/>
      </c>
      <c r="AE21" s="68"/>
      <c r="AF21" s="68"/>
      <c r="AG21" s="68"/>
      <c r="AH21" s="150" t="str">
        <f t="shared" si="7"/>
        <v/>
      </c>
      <c r="AI21" s="67"/>
      <c r="AJ21" s="67"/>
      <c r="AK21" s="150" t="str">
        <f t="shared" si="1"/>
        <v/>
      </c>
      <c r="AL21" s="152"/>
      <c r="AM21" s="71"/>
      <c r="AN21" s="72"/>
      <c r="AO21" s="72"/>
      <c r="AP21" s="73"/>
      <c r="AQ21" s="66" t="str">
        <f>IF(G21&lt;&gt;"",VLOOKUP(ZE!T21,pli,38,FALSE),"")</f>
        <v/>
      </c>
      <c r="AR21" s="88" t="str">
        <f>ZE!G21</f>
        <v/>
      </c>
      <c r="AS21" s="34" t="str">
        <f t="shared" si="8"/>
        <v/>
      </c>
      <c r="AT21" s="77"/>
      <c r="AU21" s="77"/>
      <c r="AV21" s="77"/>
      <c r="AW21" s="92" t="str">
        <f>IF(G21&lt;&gt;"",
 IF(ZE!F21=COUNT(M21,S21,AA21,AD21,AH21,AK21),
  IF(AQ21=1,
   AS21,
   IF(AND(AQ21=2,AT21&lt;&gt;""),
    AT21+AS21,
    "")),
  ""),
 "")</f>
        <v/>
      </c>
      <c r="AX21" s="80" t="str">
        <f>IF(ZE!I21,IF(ZE!K21,"B","NB"),"")</f>
        <v/>
      </c>
      <c r="AY21" s="33" t="str">
        <f t="shared" si="2"/>
        <v/>
      </c>
      <c r="AZ21" s="35"/>
      <c r="BA21" s="35"/>
    </row>
    <row r="22" spans="1:53" s="36" customFormat="1" ht="20.25" customHeight="1" x14ac:dyDescent="0.25">
      <c r="A22" s="31">
        <v>19</v>
      </c>
      <c r="B22" s="53"/>
      <c r="C22" s="54" t="str">
        <f>IF(AND(B22&lt;&gt;"",Ausrichter&lt;&gt;""),Ausrichter,"")</f>
        <v/>
      </c>
      <c r="D22" s="55"/>
      <c r="E22" s="56"/>
      <c r="F22" s="57"/>
      <c r="G22" s="58" t="str">
        <f>ZE!B22</f>
        <v/>
      </c>
      <c r="H22" s="68"/>
      <c r="I22" s="69"/>
      <c r="J22" s="69"/>
      <c r="K22" s="69"/>
      <c r="L22" s="69"/>
      <c r="M22" s="145" t="str">
        <f t="shared" si="3"/>
        <v/>
      </c>
      <c r="N22" s="69"/>
      <c r="O22" s="68"/>
      <c r="P22" s="68"/>
      <c r="Q22" s="68"/>
      <c r="R22" s="68"/>
      <c r="S22" s="148" t="str">
        <f t="shared" si="4"/>
        <v/>
      </c>
      <c r="T22" s="68"/>
      <c r="U22" s="68"/>
      <c r="V22" s="68"/>
      <c r="W22" s="68"/>
      <c r="X22" s="68"/>
      <c r="Y22" s="68"/>
      <c r="Z22" s="68"/>
      <c r="AA22" s="148" t="str">
        <f t="shared" si="5"/>
        <v/>
      </c>
      <c r="AB22" s="68"/>
      <c r="AC22" s="68"/>
      <c r="AD22" s="148" t="str">
        <f t="shared" si="6"/>
        <v/>
      </c>
      <c r="AE22" s="68"/>
      <c r="AF22" s="68"/>
      <c r="AG22" s="68"/>
      <c r="AH22" s="150" t="str">
        <f t="shared" si="7"/>
        <v/>
      </c>
      <c r="AI22" s="67"/>
      <c r="AJ22" s="67"/>
      <c r="AK22" s="150" t="str">
        <f t="shared" si="1"/>
        <v/>
      </c>
      <c r="AL22" s="152"/>
      <c r="AM22" s="71"/>
      <c r="AN22" s="72"/>
      <c r="AO22" s="72"/>
      <c r="AP22" s="73"/>
      <c r="AQ22" s="66" t="str">
        <f>IF(G22&lt;&gt;"",VLOOKUP(ZE!T22,pli,38,FALSE),"")</f>
        <v/>
      </c>
      <c r="AR22" s="88" t="str">
        <f>ZE!G22</f>
        <v/>
      </c>
      <c r="AS22" s="34" t="str">
        <f t="shared" si="8"/>
        <v/>
      </c>
      <c r="AT22" s="77"/>
      <c r="AU22" s="77"/>
      <c r="AV22" s="77"/>
      <c r="AW22" s="92" t="str">
        <f>IF(G22&lt;&gt;"",
 IF(ZE!F22=COUNT(M22,S22,AA22,AD22,AH22,AK22),
  IF(AQ22=1,
   AS22,
   IF(AND(AQ22=2,AT22&lt;&gt;""),
    AT22+AS22,
    "")),
  ""),
 "")</f>
        <v/>
      </c>
      <c r="AX22" s="80" t="str">
        <f>IF(ZE!I22,IF(ZE!K22,"B","NB"),"")</f>
        <v/>
      </c>
      <c r="AY22" s="33" t="str">
        <f t="shared" si="2"/>
        <v/>
      </c>
      <c r="AZ22" s="35"/>
      <c r="BA22" s="35"/>
    </row>
    <row r="23" spans="1:53" s="36" customFormat="1" ht="20.25" customHeight="1" thickBot="1" x14ac:dyDescent="0.3">
      <c r="A23" s="31">
        <v>20</v>
      </c>
      <c r="B23" s="53"/>
      <c r="C23" s="54" t="str">
        <f>IF(AND(B23&lt;&gt;"",Ausrichter&lt;&gt;""),Ausrichter,"")</f>
        <v/>
      </c>
      <c r="D23" s="55"/>
      <c r="E23" s="56"/>
      <c r="F23" s="57"/>
      <c r="G23" s="58" t="str">
        <f>ZE!B23</f>
        <v/>
      </c>
      <c r="H23" s="68"/>
      <c r="I23" s="69"/>
      <c r="J23" s="69"/>
      <c r="K23" s="69"/>
      <c r="L23" s="69"/>
      <c r="M23" s="145" t="str">
        <f t="shared" si="3"/>
        <v/>
      </c>
      <c r="N23" s="69"/>
      <c r="O23" s="68"/>
      <c r="P23" s="68"/>
      <c r="Q23" s="68"/>
      <c r="R23" s="68"/>
      <c r="S23" s="148" t="str">
        <f t="shared" si="4"/>
        <v/>
      </c>
      <c r="T23" s="68"/>
      <c r="U23" s="68"/>
      <c r="V23" s="68"/>
      <c r="W23" s="68"/>
      <c r="X23" s="68"/>
      <c r="Y23" s="68"/>
      <c r="Z23" s="68"/>
      <c r="AA23" s="148" t="str">
        <f t="shared" si="5"/>
        <v/>
      </c>
      <c r="AB23" s="68"/>
      <c r="AC23" s="68"/>
      <c r="AD23" s="148" t="str">
        <f t="shared" si="6"/>
        <v/>
      </c>
      <c r="AE23" s="68"/>
      <c r="AF23" s="68"/>
      <c r="AG23" s="68"/>
      <c r="AH23" s="150" t="str">
        <f t="shared" si="7"/>
        <v/>
      </c>
      <c r="AI23" s="67"/>
      <c r="AJ23" s="67"/>
      <c r="AK23" s="150" t="str">
        <f t="shared" si="1"/>
        <v/>
      </c>
      <c r="AL23" s="152"/>
      <c r="AM23" s="71"/>
      <c r="AN23" s="72"/>
      <c r="AO23" s="72"/>
      <c r="AP23" s="73"/>
      <c r="AQ23" s="66" t="str">
        <f>IF(G23&lt;&gt;"",VLOOKUP(ZE!T23,pli,38,FALSE),"")</f>
        <v/>
      </c>
      <c r="AR23" s="89" t="str">
        <f>ZE!G23</f>
        <v/>
      </c>
      <c r="AS23" s="90" t="str">
        <f t="shared" si="8"/>
        <v/>
      </c>
      <c r="AT23" s="91"/>
      <c r="AU23" s="91"/>
      <c r="AV23" s="91"/>
      <c r="AW23" s="92" t="str">
        <f>IF(G23&lt;&gt;"",
 IF(ZE!F23=COUNT(M23,S23,AA23,AD23,AH23,AK23),
  IF(AQ23=1,
   AS23,
   IF(AND(AQ23=2,AT23&lt;&gt;""),
    AT23+AS23,
    "")),
  ""),
 "")</f>
        <v/>
      </c>
      <c r="AX23" s="93" t="str">
        <f>IF(ZE!I23,IF(ZE!K23,"B","NB"),"")</f>
        <v/>
      </c>
      <c r="AY23" s="33" t="str">
        <f t="shared" si="2"/>
        <v/>
      </c>
      <c r="AZ23" s="35"/>
      <c r="BA23" s="35"/>
    </row>
    <row r="24" spans="1:53" ht="10.5" customHeight="1" x14ac:dyDescent="0.2">
      <c r="A24" s="37" t="s">
        <v>10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9"/>
      <c r="AM24" s="40"/>
      <c r="AN24" s="38"/>
      <c r="AO24" s="38"/>
      <c r="AP24" s="38"/>
      <c r="AQ24" s="38"/>
      <c r="AR24" s="38"/>
      <c r="AS24" s="38"/>
      <c r="AT24" s="38"/>
      <c r="AU24" s="38"/>
      <c r="AV24" s="38"/>
      <c r="AW24" s="38"/>
      <c r="AX24" s="38"/>
      <c r="AY24" s="41"/>
    </row>
    <row r="25" spans="1:53" ht="9.75" customHeight="1" x14ac:dyDescent="0.2">
      <c r="A25" s="42" t="s">
        <v>17</v>
      </c>
      <c r="B25" s="43"/>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44"/>
      <c r="AM25" s="45"/>
      <c r="AN25" s="35"/>
      <c r="AO25" s="35"/>
      <c r="AP25" s="35"/>
      <c r="AQ25" s="35"/>
      <c r="AR25" s="35"/>
      <c r="AS25" s="35"/>
      <c r="AT25" s="35"/>
      <c r="AU25" s="35"/>
      <c r="AV25" s="35"/>
      <c r="AW25" s="35"/>
      <c r="AX25" s="35"/>
      <c r="AY25" s="46"/>
    </row>
    <row r="26" spans="1:53" ht="9.75" customHeight="1" x14ac:dyDescent="0.2">
      <c r="A26" s="47" t="s">
        <v>18</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44"/>
      <c r="AM26" s="45"/>
      <c r="AN26" s="35"/>
      <c r="AO26" s="35"/>
      <c r="AP26" s="35"/>
      <c r="AQ26" s="35"/>
      <c r="AR26" s="35"/>
      <c r="AS26" s="35"/>
      <c r="AT26" s="35"/>
      <c r="AU26" s="35"/>
      <c r="AV26" s="35"/>
      <c r="AW26" s="35"/>
      <c r="AX26" s="35"/>
      <c r="AY26" s="46"/>
    </row>
    <row r="27" spans="1:53" ht="9.75" customHeight="1" x14ac:dyDescent="0.2">
      <c r="A27" s="47" t="s">
        <v>19</v>
      </c>
      <c r="B27" s="43"/>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48"/>
      <c r="AM27" s="49"/>
      <c r="AN27" s="35"/>
      <c r="AO27" s="35"/>
      <c r="AP27" s="35"/>
      <c r="AQ27" s="35"/>
      <c r="AR27" s="35"/>
      <c r="AS27" s="35"/>
      <c r="AT27" s="35"/>
      <c r="AU27" s="35"/>
      <c r="AV27" s="35"/>
      <c r="AW27" s="35"/>
      <c r="AX27" s="35"/>
      <c r="AY27" s="46"/>
    </row>
    <row r="28" spans="1:53" ht="9.75" customHeight="1" x14ac:dyDescent="0.2">
      <c r="A28" s="47" t="s">
        <v>20</v>
      </c>
      <c r="B28" s="43"/>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49"/>
      <c r="AN28" s="35"/>
      <c r="AO28" s="35"/>
      <c r="AP28" s="35"/>
      <c r="AQ28" s="35"/>
      <c r="AR28" s="35"/>
      <c r="AS28" s="35"/>
      <c r="AT28" s="35"/>
      <c r="AU28" s="35"/>
      <c r="AV28" s="35"/>
      <c r="AW28" s="35"/>
      <c r="AX28" s="35"/>
      <c r="AY28" s="46"/>
    </row>
    <row r="29" spans="1:53" ht="9.75" customHeight="1" thickBot="1" x14ac:dyDescent="0.25">
      <c r="A29" s="50" t="s">
        <v>21</v>
      </c>
      <c r="B29" s="51"/>
      <c r="C29" s="20"/>
      <c r="D29" s="197"/>
      <c r="E29" s="217" t="s">
        <v>11</v>
      </c>
      <c r="F29" s="217"/>
      <c r="G29" s="199"/>
      <c r="H29" s="218" t="str">
        <f>IF(Außenseite!S23&lt;&gt;"",Außenseite!S23,"Prüfer 1")</f>
        <v>Prüfer 1</v>
      </c>
      <c r="I29" s="218"/>
      <c r="J29" s="218"/>
      <c r="K29" s="218"/>
      <c r="L29" s="218"/>
      <c r="M29" s="218"/>
      <c r="N29" s="218"/>
      <c r="O29" s="218"/>
      <c r="P29" s="218"/>
      <c r="Q29" s="218"/>
      <c r="R29" s="218"/>
      <c r="S29" s="199"/>
      <c r="T29" s="218" t="str">
        <f>IF(Außenseite!S25&lt;&gt;"",Außenseite!S25,"Prüfer 2")</f>
        <v>Prüfer 2</v>
      </c>
      <c r="U29" s="218"/>
      <c r="V29" s="218"/>
      <c r="W29" s="218"/>
      <c r="X29" s="218"/>
      <c r="Y29" s="218"/>
      <c r="Z29" s="218"/>
      <c r="AA29" s="218"/>
      <c r="AB29" s="218"/>
      <c r="AC29" s="218"/>
      <c r="AD29" s="218"/>
      <c r="AE29" s="199"/>
      <c r="AF29" s="218" t="str">
        <f>IF(Außenseite!S27&lt;&gt;"",Außenseite!S27,"Prüfer 3")</f>
        <v>Prüfer 3</v>
      </c>
      <c r="AG29" s="218"/>
      <c r="AH29" s="218"/>
      <c r="AI29" s="218"/>
      <c r="AJ29" s="218"/>
      <c r="AK29" s="218"/>
      <c r="AL29" s="218"/>
      <c r="AM29" s="218"/>
      <c r="AN29" s="218"/>
      <c r="AO29" s="218"/>
      <c r="AP29" s="218"/>
      <c r="AQ29" s="199"/>
      <c r="AR29" s="199"/>
      <c r="AS29" s="199"/>
      <c r="AT29" s="199"/>
      <c r="AU29" s="199"/>
      <c r="AV29" s="199"/>
      <c r="AW29" s="199"/>
      <c r="AX29" s="52"/>
      <c r="AY29" s="94" t="s">
        <v>217</v>
      </c>
    </row>
  </sheetData>
  <sheetProtection sheet="1" objects="1" scenarios="1"/>
  <mergeCells count="56">
    <mergeCell ref="AO2:AO3"/>
    <mergeCell ref="AP2:AP3"/>
    <mergeCell ref="AT2:AT3"/>
    <mergeCell ref="A2:A3"/>
    <mergeCell ref="B2:B3"/>
    <mergeCell ref="C2:C3"/>
    <mergeCell ref="D2:D3"/>
    <mergeCell ref="G2:G3"/>
    <mergeCell ref="AP1:AY1"/>
    <mergeCell ref="V2:V3"/>
    <mergeCell ref="W2:W3"/>
    <mergeCell ref="X2:X3"/>
    <mergeCell ref="Y2:Y3"/>
    <mergeCell ref="AY2:AY3"/>
    <mergeCell ref="AI2:AI3"/>
    <mergeCell ref="AJ2:AJ3"/>
    <mergeCell ref="AK2:AK3"/>
    <mergeCell ref="AM2:AM3"/>
    <mergeCell ref="AU2:AU3"/>
    <mergeCell ref="AS2:AS3"/>
    <mergeCell ref="AX2:AX3"/>
    <mergeCell ref="AR2:AR3"/>
    <mergeCell ref="AV2:AV3"/>
    <mergeCell ref="AW2:AW3"/>
    <mergeCell ref="C1:E1"/>
    <mergeCell ref="P2:P3"/>
    <mergeCell ref="Q2:Q3"/>
    <mergeCell ref="O2:O3"/>
    <mergeCell ref="AQ2:AQ3"/>
    <mergeCell ref="AL2:AL3"/>
    <mergeCell ref="R2:R3"/>
    <mergeCell ref="I2:I3"/>
    <mergeCell ref="U2:U3"/>
    <mergeCell ref="J2:J3"/>
    <mergeCell ref="N2:N3"/>
    <mergeCell ref="E2:F2"/>
    <mergeCell ref="AG2:AG3"/>
    <mergeCell ref="M2:M3"/>
    <mergeCell ref="S2:S3"/>
    <mergeCell ref="AF2:AF3"/>
    <mergeCell ref="E29:F29"/>
    <mergeCell ref="H29:R29"/>
    <mergeCell ref="T29:AD29"/>
    <mergeCell ref="AF29:AP29"/>
    <mergeCell ref="Z2:Z3"/>
    <mergeCell ref="AA2:AA3"/>
    <mergeCell ref="AB2:AB3"/>
    <mergeCell ref="AC2:AC3"/>
    <mergeCell ref="AD2:AD3"/>
    <mergeCell ref="AE2:AE3"/>
    <mergeCell ref="K2:K3"/>
    <mergeCell ref="L2:L3"/>
    <mergeCell ref="H2:H3"/>
    <mergeCell ref="AH2:AH3"/>
    <mergeCell ref="T2:T3"/>
    <mergeCell ref="AN2:AN3"/>
  </mergeCells>
  <phoneticPr fontId="0" type="noConversion"/>
  <conditionalFormatting sqref="AT4:AT23">
    <cfRule type="expression" dxfId="31" priority="31" stopIfTrue="1">
      <formula>OR(AQ4=1,AQ4=3)</formula>
    </cfRule>
  </conditionalFormatting>
  <conditionalFormatting sqref="AU4:AV23">
    <cfRule type="expression" dxfId="30" priority="32" stopIfTrue="1">
      <formula>OR($AQ4=1,$AQ4=2)</formula>
    </cfRule>
  </conditionalFormatting>
  <conditionalFormatting sqref="AW4:AW23">
    <cfRule type="expression" dxfId="29" priority="33" stopIfTrue="1">
      <formula>AQ4=3</formula>
    </cfRule>
  </conditionalFormatting>
  <conditionalFormatting sqref="D22:D23">
    <cfRule type="expression" dxfId="28" priority="34" stopIfTrue="1">
      <formula>NOT(INDEX(mindestalterErreicht,CELL("Zeile",D22)-3))</formula>
    </cfRule>
  </conditionalFormatting>
  <conditionalFormatting sqref="AX4:AY23">
    <cfRule type="expression" dxfId="27" priority="35" stopIfTrue="1">
      <formula>$AX4="NB"</formula>
    </cfRule>
  </conditionalFormatting>
  <conditionalFormatting sqref="E23">
    <cfRule type="expression" dxfId="26" priority="36" stopIfTrue="1">
      <formula>NOT(INDEX(vorbereitungszeitErreicht,CELL("Zeile",E23)-3))</formula>
    </cfRule>
  </conditionalFormatting>
  <conditionalFormatting sqref="D12:D21">
    <cfRule type="expression" dxfId="25" priority="27" stopIfTrue="1">
      <formula>NOT(INDEX(mindestalterErreicht,CELL("Zeile",D12)-3))</formula>
    </cfRule>
  </conditionalFormatting>
  <conditionalFormatting sqref="E14:E16">
    <cfRule type="expression" dxfId="24" priority="28" stopIfTrue="1">
      <formula>NOT(INDEX(vorbereitungszeitErreicht,CELL("Zeile",E14)-3))</formula>
    </cfRule>
  </conditionalFormatting>
  <conditionalFormatting sqref="D4">
    <cfRule type="expression" dxfId="23" priority="25" stopIfTrue="1">
      <formula>NOT(INDEX(mindestalterErreicht,CELL("Zeile",D4)-3))</formula>
    </cfRule>
  </conditionalFormatting>
  <conditionalFormatting sqref="E4">
    <cfRule type="expression" dxfId="22" priority="26" stopIfTrue="1">
      <formula>NOT(INDEX(vorbereitungszeitErreicht,CELL("Zeile",E4)-3))</formula>
    </cfRule>
  </conditionalFormatting>
  <conditionalFormatting sqref="D5">
    <cfRule type="expression" dxfId="21" priority="23" stopIfTrue="1">
      <formula>NOT(INDEX(mindestalterErreicht,CELL("Zeile",D5)-3))</formula>
    </cfRule>
  </conditionalFormatting>
  <conditionalFormatting sqref="E5">
    <cfRule type="expression" dxfId="20" priority="24" stopIfTrue="1">
      <formula>NOT(INDEX(vorbereitungszeitErreicht,CELL("Zeile",E5)-3))</formula>
    </cfRule>
  </conditionalFormatting>
  <conditionalFormatting sqref="D8">
    <cfRule type="expression" dxfId="19" priority="17" stopIfTrue="1">
      <formula>NOT(INDEX(mindestalterErreicht,CELL("Zeile",D8)-3))</formula>
    </cfRule>
  </conditionalFormatting>
  <conditionalFormatting sqref="D9">
    <cfRule type="expression" dxfId="18" priority="15" stopIfTrue="1">
      <formula>NOT(INDEX(mindestalterErreicht,CELL("Zeile",D9)-3))</formula>
    </cfRule>
  </conditionalFormatting>
  <conditionalFormatting sqref="E6:E9">
    <cfRule type="expression" dxfId="17" priority="14" stopIfTrue="1">
      <formula>NOT(INDEX(vorbereitungszeitErreicht,CELL("Zeile",E6)-3))</formula>
    </cfRule>
  </conditionalFormatting>
  <conditionalFormatting sqref="D10">
    <cfRule type="expression" dxfId="16" priority="13" stopIfTrue="1">
      <formula>NOT(INDEX(mindestalterErreicht,CELL("Zeile",D10)-3))</formula>
    </cfRule>
  </conditionalFormatting>
  <conditionalFormatting sqref="D11">
    <cfRule type="expression" dxfId="15" priority="12" stopIfTrue="1">
      <formula>NOT(INDEX(mindestalterErreicht,CELL("Zeile",D11)-3))</formula>
    </cfRule>
  </conditionalFormatting>
  <conditionalFormatting sqref="E10">
    <cfRule type="expression" dxfId="14" priority="11" stopIfTrue="1">
      <formula>NOT(INDEX(vorbereitungszeitErreicht,CELL("Zeile",E10)-3))</formula>
    </cfRule>
  </conditionalFormatting>
  <conditionalFormatting sqref="E11">
    <cfRule type="expression" dxfId="13" priority="10" stopIfTrue="1">
      <formula>NOT(INDEX(vorbereitungszeitErreicht,CELL("Zeile",E11)-3))</formula>
    </cfRule>
  </conditionalFormatting>
  <conditionalFormatting sqref="E12">
    <cfRule type="expression" dxfId="12" priority="9" stopIfTrue="1">
      <formula>NOT(INDEX(vorbereitungszeitErreicht,CELL("Zeile",E12)-3))</formula>
    </cfRule>
  </conditionalFormatting>
  <conditionalFormatting sqref="E13">
    <cfRule type="expression" dxfId="11" priority="8" stopIfTrue="1">
      <formula>NOT(INDEX(vorbereitungszeitErreicht,CELL("Zeile",E13)-3))</formula>
    </cfRule>
  </conditionalFormatting>
  <conditionalFormatting sqref="E17:E22">
    <cfRule type="expression" dxfId="10" priority="7" stopIfTrue="1">
      <formula>NOT(INDEX(vorbereitungszeitErreicht,CELL("Zeile",E17)-3))</formula>
    </cfRule>
  </conditionalFormatting>
  <conditionalFormatting sqref="D6:D7">
    <cfRule type="expression" dxfId="9" priority="1" stopIfTrue="1">
      <formula>NOT(INDEX(mindestalterErreicht,CELL("Zeile",D6)-3))</formula>
    </cfRule>
  </conditionalFormatting>
  <dataValidations count="7">
    <dataValidation type="list" allowBlank="1" showInputMessage="1" showErrorMessage="1" errorTitle="Ungültige Graduierung" error="Bitte Graduierungen nur mit dem Text eingeben, der in der Auswahlliste (Klick auf Schaltfläche rechts der Zelle) angeboten wird." sqref="F4:F23" xr:uid="{00000000-0002-0000-0100-000000000000}">
      <formula1>bisherigerGrad</formula1>
    </dataValidation>
    <dataValidation type="list" allowBlank="1" showInputMessage="1" showErrorMessage="1" errorTitle="Ungültige Graduierung" error="Bitte Graduierungen nur mit dem Text eingeben, der der Auswahlliste (Klick auf Schaltfläche rechts der Zelle) angeboten wird." sqref="G4:G23" xr:uid="{00000000-0002-0000-0100-000001000000}">
      <formula1>angestrebterGrad</formula1>
    </dataValidation>
    <dataValidation type="whole" allowBlank="1" showInputMessage="1" showErrorMessage="1" errorTitle="Ungültiger Punktewert" error="Bitte eine ganze Zahl zwischen 12 und 90 für den Punktewert des zweiten Prüfers eingeben." sqref="AT4:AT23" xr:uid="{00000000-0002-0000-0100-000002000000}">
      <formula1>12</formula1>
      <formula2>90</formula2>
    </dataValidation>
    <dataValidation type="list" allowBlank="1" showInputMessage="1" showErrorMessage="1" errorTitle="Ungültiger Wert" error="Bitte nur &quot;B&quot; für &quot;bestanden&quot; oder &quot;NB&quot; für &quot;nicht bestanden&quot; eingeben." sqref="AU4:AV23" xr:uid="{00000000-0002-0000-0100-000003000000}">
      <formula1>bNb</formula1>
    </dataValidation>
    <dataValidation type="list" allowBlank="1" showInputMessage="1" showErrorMessage="1" errorTitle="Ungültige Eingabe" error="Bitte nur &quot;B&quot; für &quot;bestanden&quot; oder &quot;NB&quot; für &quot;nicht bestanden&quot; eingeben." sqref="AX4:AX23" xr:uid="{00000000-0002-0000-0100-000004000000}">
      <formula1>bNb</formula1>
    </dataValidation>
    <dataValidation type="whole" allowBlank="1" showInputMessage="1" showErrorMessage="1" errorTitle="Anzahl der Prüfer" error="Anzahl der Prüfer muss 1, 2 oder 3 sein." sqref="AQ4:AQ23" xr:uid="{00000000-0002-0000-0100-000005000000}">
      <formula1>1</formula1>
      <formula2>3</formula2>
    </dataValidation>
    <dataValidation type="whole" allowBlank="1" showInputMessage="1" showErrorMessage="1" errorTitle="Ungültiger Punktewert" error="Bitte eine ganze Zahl von 1 bis 5 als Punktzahl für das Prüfungsfach eingeben." sqref="H4:AL23" xr:uid="{00000000-0002-0000-0100-000006000000}">
      <formula1>1</formula1>
      <formula2>5</formula2>
    </dataValidation>
  </dataValidations>
  <pageMargins left="0.19685039370078741" right="0.19685039370078741" top="0.19685039370078741" bottom="0" header="0.51181102362204722" footer="0.51181102362204722"/>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stopIfTrue="1" id="{8274765D-E5BE-4276-8A4B-0BE24E9D2B6E}">
            <xm:f>IF($G4&lt;&gt;"",(VLOOKUP(ZE!$T4,pli,CELL("Spalte",H4)-CELL("Spalte",$H4)+2,FALSE)=0),FALSE)</xm:f>
            <x14:dxf>
              <fill>
                <patternFill patternType="lightTrellis">
                  <fgColor auto="1"/>
                </patternFill>
              </fill>
            </x14:dxf>
          </x14:cfRule>
          <xm:sqref>H4:AP23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46"/>
  <sheetViews>
    <sheetView zoomScaleNormal="100" workbookViewId="0">
      <pane xSplit="3" ySplit="2" topLeftCell="D8" activePane="bottomRight" state="frozen"/>
      <selection pane="topRight" activeCell="D1" sqref="D1"/>
      <selection pane="bottomLeft" activeCell="A3" sqref="A3"/>
      <selection pane="bottomRight" activeCell="E22" sqref="E22"/>
    </sheetView>
  </sheetViews>
  <sheetFormatPr baseColWidth="10" defaultRowHeight="12.75" x14ac:dyDescent="0.2"/>
  <cols>
    <col min="1" max="1" width="6.140625" bestFit="1" customWidth="1"/>
    <col min="2" max="2" width="5.5703125" bestFit="1" customWidth="1"/>
    <col min="3" max="3" width="6" bestFit="1" customWidth="1"/>
    <col min="4" max="4" width="2.7109375" style="143" bestFit="1" customWidth="1"/>
    <col min="5" max="5" width="10.140625" bestFit="1" customWidth="1"/>
    <col min="6" max="6" width="2.7109375" style="143" bestFit="1" customWidth="1"/>
    <col min="7" max="7" width="7" style="143" bestFit="1" customWidth="1"/>
    <col min="8" max="8" width="2.7109375" bestFit="1" customWidth="1"/>
    <col min="9" max="10" width="3" bestFit="1" customWidth="1"/>
    <col min="11" max="11" width="7.42578125" customWidth="1"/>
    <col min="12" max="12" width="14.7109375" customWidth="1"/>
    <col min="13" max="15" width="3" bestFit="1" customWidth="1"/>
    <col min="16" max="16" width="7.28515625" customWidth="1"/>
    <col min="17" max="17" width="3" bestFit="1" customWidth="1"/>
    <col min="18" max="21" width="3" customWidth="1"/>
    <col min="22" max="22" width="3" style="177" customWidth="1"/>
    <col min="23" max="27" width="3" customWidth="1"/>
    <col min="28" max="28" width="3" style="177" customWidth="1"/>
    <col min="29" max="34" width="3" customWidth="1"/>
    <col min="35" max="35" width="3" bestFit="1" customWidth="1"/>
    <col min="36" max="36" width="3" style="177" customWidth="1"/>
    <col min="37" max="38" width="3" bestFit="1" customWidth="1"/>
    <col min="39" max="39" width="3" style="177" customWidth="1"/>
    <col min="40" max="42" width="3" bestFit="1" customWidth="1"/>
    <col min="43" max="43" width="3" style="177" customWidth="1"/>
    <col min="44" max="44" width="3.42578125" bestFit="1" customWidth="1"/>
    <col min="45" max="45" width="3" bestFit="1" customWidth="1"/>
    <col min="46" max="46" width="3" style="177" customWidth="1"/>
    <col min="47" max="47" width="3.28515625" style="177" customWidth="1"/>
    <col min="48" max="48" width="3.28515625" customWidth="1"/>
    <col min="49" max="50" width="3" bestFit="1" customWidth="1"/>
    <col min="51" max="55" width="3.28515625" customWidth="1"/>
  </cols>
  <sheetData>
    <row r="1" spans="1:63" ht="13.5" thickBot="1" x14ac:dyDescent="0.25">
      <c r="C1">
        <v>1</v>
      </c>
      <c r="D1" s="143">
        <v>2</v>
      </c>
      <c r="E1">
        <v>3</v>
      </c>
      <c r="F1" s="143">
        <v>4</v>
      </c>
      <c r="G1" s="143">
        <v>5</v>
      </c>
      <c r="H1">
        <v>6</v>
      </c>
      <c r="I1">
        <v>7</v>
      </c>
      <c r="J1">
        <v>8</v>
      </c>
      <c r="K1">
        <v>9</v>
      </c>
      <c r="L1">
        <v>10</v>
      </c>
      <c r="M1">
        <v>11</v>
      </c>
      <c r="P1">
        <v>1</v>
      </c>
      <c r="Q1" s="143">
        <v>2</v>
      </c>
      <c r="R1">
        <v>3</v>
      </c>
      <c r="S1" s="143">
        <v>4</v>
      </c>
      <c r="T1" s="143">
        <v>5</v>
      </c>
      <c r="U1">
        <v>6</v>
      </c>
      <c r="V1" s="177">
        <v>7</v>
      </c>
      <c r="W1">
        <v>8</v>
      </c>
      <c r="X1">
        <v>9</v>
      </c>
      <c r="Y1">
        <v>10</v>
      </c>
      <c r="Z1">
        <v>11</v>
      </c>
      <c r="AA1">
        <v>12</v>
      </c>
      <c r="AB1" s="177">
        <v>13</v>
      </c>
      <c r="AC1">
        <v>14</v>
      </c>
      <c r="AD1">
        <v>15</v>
      </c>
      <c r="AE1">
        <v>16</v>
      </c>
      <c r="AF1">
        <v>17</v>
      </c>
      <c r="AG1">
        <v>18</v>
      </c>
      <c r="AH1">
        <v>19</v>
      </c>
      <c r="AI1">
        <v>20</v>
      </c>
      <c r="AJ1" s="177">
        <v>21</v>
      </c>
      <c r="AK1">
        <v>22</v>
      </c>
      <c r="AL1">
        <v>23</v>
      </c>
      <c r="AM1" s="177">
        <v>24</v>
      </c>
      <c r="AN1">
        <v>25</v>
      </c>
      <c r="AO1">
        <v>26</v>
      </c>
      <c r="AP1">
        <v>27</v>
      </c>
      <c r="AQ1" s="177">
        <v>28</v>
      </c>
      <c r="AR1">
        <v>29</v>
      </c>
      <c r="AS1">
        <v>30</v>
      </c>
      <c r="AT1" s="177">
        <v>31</v>
      </c>
      <c r="AU1" s="177">
        <v>32</v>
      </c>
      <c r="AV1">
        <v>33</v>
      </c>
      <c r="AW1">
        <v>34</v>
      </c>
      <c r="AX1">
        <v>35</v>
      </c>
      <c r="AY1">
        <v>36</v>
      </c>
      <c r="AZ1">
        <v>37</v>
      </c>
      <c r="BA1">
        <v>38</v>
      </c>
      <c r="BB1">
        <v>39</v>
      </c>
    </row>
    <row r="2" spans="1:63" ht="102" customHeight="1" thickTop="1" x14ac:dyDescent="0.2">
      <c r="A2" s="163" t="s">
        <v>9</v>
      </c>
      <c r="B2" s="156" t="s">
        <v>69</v>
      </c>
      <c r="C2" s="156" t="s">
        <v>70</v>
      </c>
      <c r="D2" s="164" t="s">
        <v>67</v>
      </c>
      <c r="E2" s="164" t="s">
        <v>8</v>
      </c>
      <c r="F2" s="164" t="s">
        <v>68</v>
      </c>
      <c r="G2" s="164" t="s">
        <v>71</v>
      </c>
      <c r="H2" s="156" t="s">
        <v>99</v>
      </c>
      <c r="I2" s="156" t="s">
        <v>100</v>
      </c>
      <c r="J2" s="156" t="s">
        <v>116</v>
      </c>
      <c r="K2" s="156" t="s">
        <v>115</v>
      </c>
      <c r="L2" s="156" t="s">
        <v>123</v>
      </c>
      <c r="M2" s="157" t="s">
        <v>134</v>
      </c>
      <c r="N2" s="1"/>
      <c r="O2" s="1"/>
      <c r="P2" s="153" t="s">
        <v>174</v>
      </c>
      <c r="Q2" s="154" t="str">
        <f>Prüfungsliste!H2</f>
        <v xml:space="preserve">      Fallschule</v>
      </c>
      <c r="R2" s="154" t="str">
        <f>Prüfungsliste!I2</f>
        <v xml:space="preserve">      Ausweichen</v>
      </c>
      <c r="S2" s="154" t="str">
        <f>Prüfungsliste!J2</f>
        <v xml:space="preserve">      Blocken </v>
      </c>
      <c r="T2" s="154" t="str">
        <f>Prüfungsliste!K2</f>
        <v xml:space="preserve">      Schlage / Stöße</v>
      </c>
      <c r="U2" s="154" t="str">
        <f>Prüfungsliste!L2</f>
        <v xml:space="preserve">      Fußtritte</v>
      </c>
      <c r="V2" s="178" t="s">
        <v>149</v>
      </c>
      <c r="W2" s="154" t="str">
        <f>Prüfungsliste!N2</f>
        <v xml:space="preserve">      Würfe</v>
      </c>
      <c r="X2" s="154" t="str">
        <f>Prüfungsliste!O2</f>
        <v xml:space="preserve">      Hebel</v>
      </c>
      <c r="Y2" s="154" t="str">
        <f>Prüfungsliste!P2</f>
        <v xml:space="preserve">      Würgegriffe</v>
      </c>
      <c r="Z2" s="154" t="str">
        <f>Prüfungsliste!Q2</f>
        <v xml:space="preserve">      Festlegegriffe</v>
      </c>
      <c r="AA2" s="154" t="str">
        <f>Prüfungsliste!R2</f>
        <v xml:space="preserve">      Transportgriffe</v>
      </c>
      <c r="AB2" s="178" t="s">
        <v>149</v>
      </c>
      <c r="AC2" s="154" t="str">
        <f>Prüfungsliste!T2</f>
        <v xml:space="preserve">      Hand-/Armfassen</v>
      </c>
      <c r="AD2" s="154" t="str">
        <f>Prüfungsliste!U2</f>
        <v xml:space="preserve">      Revers-/Kragenfassen</v>
      </c>
      <c r="AE2" s="154" t="str">
        <f>Prüfungsliste!V2</f>
        <v xml:space="preserve">      Haare fassen</v>
      </c>
      <c r="AF2" s="154" t="str">
        <f>Prüfungsliste!W2</f>
        <v xml:space="preserve">      Würgen Stand / Boden</v>
      </c>
      <c r="AG2" s="154" t="str">
        <f>Prüfungsliste!X2</f>
        <v xml:space="preserve">      Brustumklammerung</v>
      </c>
      <c r="AH2" s="154" t="str">
        <f>Prüfungsliste!Y2</f>
        <v xml:space="preserve">      Kopfumklammerung</v>
      </c>
      <c r="AI2" s="154" t="str">
        <f>Prüfungsliste!Z2</f>
        <v xml:space="preserve">      Nelson</v>
      </c>
      <c r="AJ2" s="178" t="s">
        <v>149</v>
      </c>
      <c r="AK2" s="154" t="str">
        <f>Prüfungsliste!AB2</f>
        <v xml:space="preserve">      Schlag-/Stoßangriffe</v>
      </c>
      <c r="AL2" s="154" t="str">
        <f>Prüfungsliste!AC2</f>
        <v xml:space="preserve">      Fußangriffe</v>
      </c>
      <c r="AM2" s="178" t="s">
        <v>149</v>
      </c>
      <c r="AN2" s="154" t="str">
        <f>Prüfungsliste!AE2</f>
        <v xml:space="preserve">      Stock</v>
      </c>
      <c r="AO2" s="154" t="str">
        <f>Prüfungsliste!AF2</f>
        <v xml:space="preserve">      Messer</v>
      </c>
      <c r="AP2" s="154" t="str">
        <f>Prüfungsliste!AG2</f>
        <v xml:space="preserve">      Pistole</v>
      </c>
      <c r="AQ2" s="178" t="s">
        <v>149</v>
      </c>
      <c r="AR2" s="154" t="str">
        <f>Prüfungsliste!AI2</f>
        <v xml:space="preserve">      Freie Angriffe</v>
      </c>
      <c r="AS2" s="154" t="str">
        <f>Prüfungsliste!AJ2</f>
        <v xml:space="preserve">      Zusatzaktionen</v>
      </c>
      <c r="AT2" s="178" t="s">
        <v>149</v>
      </c>
      <c r="AU2" s="178" t="str">
        <f>Prüfungsliste!AL2</f>
        <v>Kata</v>
      </c>
      <c r="AV2" s="155" t="s">
        <v>1</v>
      </c>
      <c r="AW2" s="155" t="s">
        <v>0</v>
      </c>
      <c r="AX2" s="155" t="s">
        <v>14</v>
      </c>
      <c r="AY2" s="155" t="s">
        <v>15</v>
      </c>
      <c r="AZ2" s="156" t="s">
        <v>2</v>
      </c>
      <c r="BA2" s="156" t="s">
        <v>3</v>
      </c>
      <c r="BB2" s="157" t="s">
        <v>16</v>
      </c>
      <c r="BE2" s="186" t="s">
        <v>93</v>
      </c>
      <c r="BG2" s="186" t="s">
        <v>216</v>
      </c>
      <c r="BH2" s="186" t="s">
        <v>215</v>
      </c>
    </row>
    <row r="3" spans="1:63" ht="13.5" thickBot="1" x14ac:dyDescent="0.25">
      <c r="A3" s="165" t="s">
        <v>35</v>
      </c>
      <c r="B3" s="6" t="s">
        <v>27</v>
      </c>
      <c r="C3" s="6" t="s">
        <v>26</v>
      </c>
      <c r="D3" s="2">
        <v>6</v>
      </c>
      <c r="E3" s="3">
        <f ca="1">DATE(YEAR(PTag)-D3,MONTH(PTag),DAY(PTag))</f>
        <v>43856</v>
      </c>
      <c r="F3" s="4">
        <v>6</v>
      </c>
      <c r="G3" s="3">
        <f ca="1">DATE(IF(MONTH(PTag)&gt;F3,YEAR(PTag),YEAR(PTag)-1),IF(MONTH(PTag)&gt;F3,(MONTH(PTag)-F3),MONTH(PTag)+12-F3),DAY(PTag))</f>
        <v>45864</v>
      </c>
      <c r="H3" s="166">
        <f>COUNTIF(Prüfungsliste!AY$4:AY$23,MV!C3)</f>
        <v>0</v>
      </c>
      <c r="I3" s="166">
        <f>COUNTIF(Prüfungsliste!G$4:G$23,MV!C3)</f>
        <v>0</v>
      </c>
      <c r="J3" t="s">
        <v>117</v>
      </c>
      <c r="K3" t="s">
        <v>127</v>
      </c>
      <c r="L3" t="s">
        <v>124</v>
      </c>
      <c r="M3" s="167" t="s">
        <v>135</v>
      </c>
      <c r="P3" s="158" t="s">
        <v>202</v>
      </c>
      <c r="Q3" s="176"/>
      <c r="R3" s="176"/>
      <c r="S3" s="176"/>
      <c r="T3" s="176"/>
      <c r="U3" s="176"/>
      <c r="V3" s="179"/>
      <c r="W3" s="176"/>
      <c r="X3" s="176"/>
      <c r="Y3" s="176"/>
      <c r="Z3" s="176"/>
      <c r="AA3" s="176"/>
      <c r="AB3" s="179"/>
      <c r="AC3" s="176"/>
      <c r="AD3" s="176"/>
      <c r="AE3" s="176"/>
      <c r="AF3" s="176"/>
      <c r="AG3" s="176"/>
      <c r="AH3" s="176"/>
      <c r="AI3" s="176"/>
      <c r="AJ3" s="179"/>
      <c r="AK3" s="176"/>
      <c r="AL3" s="176"/>
      <c r="AM3" s="179"/>
      <c r="AN3" s="176"/>
      <c r="AO3" s="176"/>
      <c r="AP3" s="176"/>
      <c r="AQ3" s="179"/>
      <c r="AR3" s="176"/>
      <c r="AS3" s="176"/>
      <c r="AT3" s="179"/>
      <c r="AU3" s="179"/>
      <c r="AV3" s="140">
        <v>0</v>
      </c>
      <c r="AW3" s="139">
        <v>0</v>
      </c>
      <c r="AX3" s="139">
        <v>0</v>
      </c>
      <c r="AY3" s="139">
        <v>0</v>
      </c>
      <c r="AZ3" s="139">
        <f>SUM(V3,AB3,AJ3,AM3,AQ3,AT3,AU3)</f>
        <v>0</v>
      </c>
      <c r="BA3" s="139">
        <v>0</v>
      </c>
      <c r="BB3" s="139">
        <f t="shared" ref="BB3:BB41" si="0">AZ3*3</f>
        <v>0</v>
      </c>
      <c r="BE3" s="187" t="s">
        <v>86</v>
      </c>
      <c r="BG3" s="198" t="b">
        <f>(SUM(I11:I15)&gt;0)</f>
        <v>0</v>
      </c>
      <c r="BH3" s="198" t="b">
        <f>(SUM(I3:I10)&gt;0)</f>
        <v>0</v>
      </c>
    </row>
    <row r="4" spans="1:63" ht="13.5" thickBot="1" x14ac:dyDescent="0.25">
      <c r="A4" s="165" t="s">
        <v>26</v>
      </c>
      <c r="B4" s="6" t="s">
        <v>27</v>
      </c>
      <c r="C4" s="6" t="s">
        <v>27</v>
      </c>
      <c r="D4" s="2">
        <v>8</v>
      </c>
      <c r="E4" s="3">
        <f t="shared" ref="E4:E11" ca="1" si="1">DATE(YEAR(PTag)-D4,MONTH(PTag),DAY(PTag))</f>
        <v>43126</v>
      </c>
      <c r="F4" s="4">
        <v>6</v>
      </c>
      <c r="G4" s="3">
        <f t="shared" ref="G4:G15" ca="1" si="2">DATE(IF(MONTH(PTag)&gt;F4,YEAR(PTag),YEAR(PTag)-1),IF(MONTH(PTag)&gt;F4,(MONTH(PTag)-F4),MONTH(PTag)+12-F4),DAY(PTag))</f>
        <v>45864</v>
      </c>
      <c r="H4" s="166">
        <f>COUNTIF(Prüfungsliste!AY$4:AY$23,MV!C4)</f>
        <v>0</v>
      </c>
      <c r="I4" s="166">
        <f>COUNTIF(Prüfungsliste!G$4:G$23,MV!C4)</f>
        <v>0</v>
      </c>
      <c r="J4" s="166" t="s">
        <v>118</v>
      </c>
      <c r="K4" s="166" t="s">
        <v>128</v>
      </c>
      <c r="L4" s="166" t="str">
        <f>""</f>
        <v/>
      </c>
      <c r="M4" s="167" t="s">
        <v>136</v>
      </c>
      <c r="P4" s="158" t="s">
        <v>175</v>
      </c>
      <c r="Q4" s="141">
        <v>1</v>
      </c>
      <c r="R4" s="141">
        <v>1</v>
      </c>
      <c r="S4" s="141">
        <v>1</v>
      </c>
      <c r="T4" s="141">
        <v>1</v>
      </c>
      <c r="U4" s="141">
        <v>1</v>
      </c>
      <c r="V4" s="180">
        <v>1</v>
      </c>
      <c r="W4" s="141">
        <v>1</v>
      </c>
      <c r="X4" s="141">
        <v>1</v>
      </c>
      <c r="Y4" s="141">
        <v>1</v>
      </c>
      <c r="Z4" s="141">
        <v>1</v>
      </c>
      <c r="AA4" s="141">
        <v>1</v>
      </c>
      <c r="AB4" s="180">
        <v>1</v>
      </c>
      <c r="AC4" s="141">
        <v>1</v>
      </c>
      <c r="AD4" s="141">
        <v>1</v>
      </c>
      <c r="AE4" s="141"/>
      <c r="AF4" s="141">
        <v>1</v>
      </c>
      <c r="AG4" s="141">
        <v>1</v>
      </c>
      <c r="AH4" s="141">
        <v>1</v>
      </c>
      <c r="AI4" s="141"/>
      <c r="AJ4" s="180">
        <v>1</v>
      </c>
      <c r="AK4" s="141">
        <v>1</v>
      </c>
      <c r="AL4" s="141">
        <v>1</v>
      </c>
      <c r="AM4" s="180">
        <v>1</v>
      </c>
      <c r="AN4" s="141">
        <v>1</v>
      </c>
      <c r="AO4" s="141"/>
      <c r="AP4" s="141"/>
      <c r="AQ4" s="180">
        <v>1</v>
      </c>
      <c r="AR4" s="141">
        <v>1</v>
      </c>
      <c r="AS4" s="141"/>
      <c r="AT4" s="180">
        <v>1</v>
      </c>
      <c r="AU4" s="180"/>
      <c r="AV4" s="140">
        <v>1</v>
      </c>
      <c r="AW4" s="139">
        <v>0</v>
      </c>
      <c r="AX4" s="139">
        <v>0</v>
      </c>
      <c r="AY4" s="139">
        <v>0</v>
      </c>
      <c r="AZ4" s="139">
        <f>SUM(V4,AB4,AJ4,AM4,AQ4,AT4,AU4)</f>
        <v>6</v>
      </c>
      <c r="BA4" s="142">
        <v>1</v>
      </c>
      <c r="BB4" s="139">
        <f t="shared" si="0"/>
        <v>18</v>
      </c>
      <c r="BE4" s="187" t="s">
        <v>87</v>
      </c>
    </row>
    <row r="5" spans="1:63" x14ac:dyDescent="0.2">
      <c r="A5" s="165" t="s">
        <v>27</v>
      </c>
      <c r="B5" s="6" t="s">
        <v>29</v>
      </c>
      <c r="C5" s="6" t="s">
        <v>28</v>
      </c>
      <c r="D5" s="2">
        <v>8</v>
      </c>
      <c r="E5" s="3">
        <f t="shared" ca="1" si="1"/>
        <v>43126</v>
      </c>
      <c r="F5" s="4">
        <v>6</v>
      </c>
      <c r="G5" s="3">
        <f t="shared" ca="1" si="2"/>
        <v>45864</v>
      </c>
      <c r="H5" s="166">
        <f>COUNTIF(Prüfungsliste!AY$4:AY$23,MV!C5)</f>
        <v>0</v>
      </c>
      <c r="I5" s="166">
        <f>COUNTIF(Prüfungsliste!G$4:G$23,MV!C5)</f>
        <v>0</v>
      </c>
      <c r="J5" s="166" t="s">
        <v>118</v>
      </c>
      <c r="K5" s="166" t="s">
        <v>128</v>
      </c>
      <c r="L5" s="166" t="s">
        <v>125</v>
      </c>
      <c r="M5" s="167" t="s">
        <v>135</v>
      </c>
      <c r="P5" s="158" t="s">
        <v>203</v>
      </c>
      <c r="Q5" s="176"/>
      <c r="R5" s="176"/>
      <c r="S5" s="176"/>
      <c r="T5" s="176"/>
      <c r="U5" s="176"/>
      <c r="V5" s="179"/>
      <c r="W5" s="176"/>
      <c r="X5" s="176"/>
      <c r="Y5" s="176"/>
      <c r="Z5" s="176"/>
      <c r="AA5" s="176"/>
      <c r="AB5" s="179"/>
      <c r="AC5" s="176"/>
      <c r="AD5" s="176"/>
      <c r="AE5" s="176"/>
      <c r="AF5" s="176"/>
      <c r="AG5" s="176"/>
      <c r="AH5" s="176"/>
      <c r="AI5" s="176"/>
      <c r="AJ5" s="179"/>
      <c r="AK5" s="176"/>
      <c r="AL5" s="176"/>
      <c r="AM5" s="179"/>
      <c r="AN5" s="176"/>
      <c r="AO5" s="176"/>
      <c r="AP5" s="176"/>
      <c r="AQ5" s="179"/>
      <c r="AR5" s="176"/>
      <c r="AS5" s="176"/>
      <c r="AT5" s="179"/>
      <c r="AU5" s="179"/>
      <c r="AV5" s="140">
        <v>0</v>
      </c>
      <c r="AW5" s="139">
        <v>0</v>
      </c>
      <c r="AX5" s="139">
        <v>0</v>
      </c>
      <c r="AY5" s="139">
        <v>0</v>
      </c>
      <c r="AZ5" s="139">
        <f t="shared" ref="AZ5:AZ41" si="3">SUM(V5,AB5,AJ5,AM5,AQ5,AT5,AU5)</f>
        <v>0</v>
      </c>
      <c r="BA5" s="139">
        <v>0</v>
      </c>
      <c r="BB5" s="139">
        <f t="shared" si="0"/>
        <v>0</v>
      </c>
      <c r="BE5" s="188">
        <v>1</v>
      </c>
      <c r="BF5" s="189">
        <v>2</v>
      </c>
      <c r="BG5" s="189">
        <v>3</v>
      </c>
      <c r="BH5" s="189">
        <v>4</v>
      </c>
      <c r="BI5" s="189">
        <v>5</v>
      </c>
      <c r="BJ5" s="189">
        <v>6</v>
      </c>
      <c r="BK5" s="190">
        <v>7</v>
      </c>
    </row>
    <row r="6" spans="1:63" x14ac:dyDescent="0.2">
      <c r="A6" s="165" t="s">
        <v>28</v>
      </c>
      <c r="B6" s="6" t="s">
        <v>29</v>
      </c>
      <c r="C6" s="6" t="s">
        <v>29</v>
      </c>
      <c r="D6" s="2">
        <v>10</v>
      </c>
      <c r="E6" s="3">
        <f t="shared" ca="1" si="1"/>
        <v>42395</v>
      </c>
      <c r="F6" s="4">
        <v>6</v>
      </c>
      <c r="G6" s="3">
        <f t="shared" ca="1" si="2"/>
        <v>45864</v>
      </c>
      <c r="H6" s="166">
        <f>COUNTIF(Prüfungsliste!AY$4:AY$23,MV!C6)</f>
        <v>0</v>
      </c>
      <c r="I6" s="166">
        <f>COUNTIF(Prüfungsliste!G$4:G$23,MV!C6)</f>
        <v>0</v>
      </c>
      <c r="J6" s="166" t="s">
        <v>119</v>
      </c>
      <c r="K6" s="166" t="s">
        <v>129</v>
      </c>
      <c r="L6" s="166" t="str">
        <f>""</f>
        <v/>
      </c>
      <c r="M6" s="167" t="s">
        <v>136</v>
      </c>
      <c r="P6" s="158" t="s">
        <v>176</v>
      </c>
      <c r="Q6" s="141">
        <v>1</v>
      </c>
      <c r="R6" s="141">
        <v>1</v>
      </c>
      <c r="S6" s="141">
        <v>1</v>
      </c>
      <c r="T6" s="141">
        <v>1</v>
      </c>
      <c r="U6" s="141">
        <v>1</v>
      </c>
      <c r="V6" s="180">
        <v>1</v>
      </c>
      <c r="W6" s="141">
        <v>1</v>
      </c>
      <c r="X6" s="141">
        <v>1</v>
      </c>
      <c r="Y6" s="141">
        <v>1</v>
      </c>
      <c r="Z6" s="141">
        <v>1</v>
      </c>
      <c r="AA6" s="141">
        <v>1</v>
      </c>
      <c r="AB6" s="180">
        <v>1</v>
      </c>
      <c r="AC6" s="141">
        <v>1</v>
      </c>
      <c r="AD6" s="141">
        <v>1</v>
      </c>
      <c r="AE6" s="141"/>
      <c r="AF6" s="141">
        <v>1</v>
      </c>
      <c r="AG6" s="141">
        <v>1</v>
      </c>
      <c r="AH6" s="141">
        <v>1</v>
      </c>
      <c r="AI6" s="141"/>
      <c r="AJ6" s="180">
        <v>1</v>
      </c>
      <c r="AK6" s="141">
        <v>1</v>
      </c>
      <c r="AL6" s="141">
        <v>1</v>
      </c>
      <c r="AM6" s="180">
        <v>1</v>
      </c>
      <c r="AN6" s="141">
        <v>1</v>
      </c>
      <c r="AO6" s="141">
        <v>1</v>
      </c>
      <c r="AP6" s="141">
        <v>1</v>
      </c>
      <c r="AQ6" s="180">
        <v>1</v>
      </c>
      <c r="AR6" s="141">
        <v>1</v>
      </c>
      <c r="AS6" s="141"/>
      <c r="AT6" s="180">
        <v>1</v>
      </c>
      <c r="AU6" s="180"/>
      <c r="AV6" s="140">
        <v>1</v>
      </c>
      <c r="AW6" s="139">
        <v>0</v>
      </c>
      <c r="AX6" s="139">
        <v>0</v>
      </c>
      <c r="AY6" s="139">
        <v>0</v>
      </c>
      <c r="AZ6" s="139">
        <f t="shared" si="3"/>
        <v>6</v>
      </c>
      <c r="BA6" s="142">
        <v>1</v>
      </c>
      <c r="BB6" s="139">
        <f t="shared" si="0"/>
        <v>18</v>
      </c>
      <c r="BD6">
        <v>0</v>
      </c>
      <c r="BE6" s="191">
        <v>6</v>
      </c>
      <c r="BF6" s="166">
        <v>14</v>
      </c>
      <c r="BG6" s="166">
        <v>18</v>
      </c>
      <c r="BH6" s="166">
        <v>26</v>
      </c>
      <c r="BI6" s="166">
        <v>40</v>
      </c>
      <c r="BJ6" s="166">
        <v>60</v>
      </c>
      <c r="BK6" s="192">
        <v>999</v>
      </c>
    </row>
    <row r="7" spans="1:63" x14ac:dyDescent="0.2">
      <c r="A7" s="165" t="s">
        <v>29</v>
      </c>
      <c r="B7" s="6" t="s">
        <v>31</v>
      </c>
      <c r="C7" s="6" t="s">
        <v>30</v>
      </c>
      <c r="D7" s="2">
        <v>10</v>
      </c>
      <c r="E7" s="3">
        <f t="shared" ca="1" si="1"/>
        <v>42395</v>
      </c>
      <c r="F7" s="4">
        <v>6</v>
      </c>
      <c r="G7" s="3">
        <f t="shared" ca="1" si="2"/>
        <v>45864</v>
      </c>
      <c r="H7" s="166">
        <f>COUNTIF(Prüfungsliste!AY$4:AY$23,MV!C7)</f>
        <v>0</v>
      </c>
      <c r="I7" s="166">
        <f>COUNTIF(Prüfungsliste!G$4:G$23,MV!C7)</f>
        <v>0</v>
      </c>
      <c r="J7" s="166" t="s">
        <v>119</v>
      </c>
      <c r="K7" s="166" t="s">
        <v>129</v>
      </c>
      <c r="L7" s="166" t="s">
        <v>126</v>
      </c>
      <c r="M7" s="167" t="s">
        <v>135</v>
      </c>
      <c r="P7" s="158" t="s">
        <v>204</v>
      </c>
      <c r="Q7" s="176"/>
      <c r="R7" s="176"/>
      <c r="S7" s="176"/>
      <c r="T7" s="176"/>
      <c r="U7" s="176"/>
      <c r="V7" s="179"/>
      <c r="W7" s="176"/>
      <c r="X7" s="176"/>
      <c r="Y7" s="176"/>
      <c r="Z7" s="176"/>
      <c r="AA7" s="176"/>
      <c r="AB7" s="179"/>
      <c r="AC7" s="176"/>
      <c r="AD7" s="176"/>
      <c r="AE7" s="176"/>
      <c r="AF7" s="176"/>
      <c r="AG7" s="176"/>
      <c r="AH7" s="176"/>
      <c r="AI7" s="176"/>
      <c r="AJ7" s="179"/>
      <c r="AK7" s="176"/>
      <c r="AL7" s="176"/>
      <c r="AM7" s="179"/>
      <c r="AN7" s="176"/>
      <c r="AO7" s="176"/>
      <c r="AP7" s="176"/>
      <c r="AQ7" s="179"/>
      <c r="AR7" s="176"/>
      <c r="AS7" s="176"/>
      <c r="AT7" s="179"/>
      <c r="AU7" s="179"/>
      <c r="AV7" s="140">
        <v>0</v>
      </c>
      <c r="AW7" s="139">
        <v>0</v>
      </c>
      <c r="AX7" s="139">
        <v>0</v>
      </c>
      <c r="AY7" s="139">
        <v>0</v>
      </c>
      <c r="AZ7" s="139">
        <f t="shared" si="3"/>
        <v>0</v>
      </c>
      <c r="BA7" s="139">
        <v>0</v>
      </c>
      <c r="BB7" s="139">
        <f t="shared" si="0"/>
        <v>0</v>
      </c>
      <c r="BD7">
        <v>0</v>
      </c>
      <c r="BE7" s="191">
        <v>6</v>
      </c>
      <c r="BF7" s="166">
        <v>14</v>
      </c>
      <c r="BG7" s="166">
        <v>18</v>
      </c>
      <c r="BH7" s="166">
        <v>26</v>
      </c>
      <c r="BI7" s="166">
        <v>40</v>
      </c>
      <c r="BJ7" s="166">
        <v>60</v>
      </c>
      <c r="BK7" s="192">
        <v>999</v>
      </c>
    </row>
    <row r="8" spans="1:63" x14ac:dyDescent="0.2">
      <c r="A8" s="165" t="s">
        <v>30</v>
      </c>
      <c r="B8" s="6" t="s">
        <v>31</v>
      </c>
      <c r="C8" s="6" t="s">
        <v>31</v>
      </c>
      <c r="D8" s="2">
        <v>12</v>
      </c>
      <c r="E8" s="3">
        <f t="shared" ca="1" si="1"/>
        <v>41665</v>
      </c>
      <c r="F8" s="4">
        <v>6</v>
      </c>
      <c r="G8" s="3">
        <f t="shared" ca="1" si="2"/>
        <v>45864</v>
      </c>
      <c r="H8" s="166">
        <f>COUNTIF(Prüfungsliste!AY$4:AY$23,MV!C8)</f>
        <v>0</v>
      </c>
      <c r="I8" s="166">
        <f>COUNTIF(Prüfungsliste!G$4:G$23,MV!C8)</f>
        <v>0</v>
      </c>
      <c r="J8" s="166" t="s">
        <v>120</v>
      </c>
      <c r="K8" s="166" t="s">
        <v>130</v>
      </c>
      <c r="L8" s="166" t="str">
        <f>""</f>
        <v/>
      </c>
      <c r="M8" s="167" t="s">
        <v>136</v>
      </c>
      <c r="P8" s="158" t="s">
        <v>177</v>
      </c>
      <c r="Q8" s="141">
        <v>1</v>
      </c>
      <c r="R8" s="141">
        <v>1</v>
      </c>
      <c r="S8" s="141">
        <v>1</v>
      </c>
      <c r="T8" s="141">
        <v>1</v>
      </c>
      <c r="U8" s="141">
        <v>1</v>
      </c>
      <c r="V8" s="180">
        <v>1</v>
      </c>
      <c r="W8" s="141">
        <v>1</v>
      </c>
      <c r="X8" s="141">
        <v>1</v>
      </c>
      <c r="Y8" s="141">
        <v>1</v>
      </c>
      <c r="Z8" s="141">
        <v>1</v>
      </c>
      <c r="AA8" s="141">
        <v>1</v>
      </c>
      <c r="AB8" s="180">
        <v>1</v>
      </c>
      <c r="AC8" s="141">
        <v>1</v>
      </c>
      <c r="AD8" s="141">
        <v>1</v>
      </c>
      <c r="AE8" s="141">
        <v>1</v>
      </c>
      <c r="AF8" s="141">
        <v>1</v>
      </c>
      <c r="AG8" s="141">
        <v>1</v>
      </c>
      <c r="AH8" s="141">
        <v>1</v>
      </c>
      <c r="AI8" s="141">
        <v>1</v>
      </c>
      <c r="AJ8" s="180">
        <v>1</v>
      </c>
      <c r="AK8" s="141">
        <v>1</v>
      </c>
      <c r="AL8" s="141">
        <v>1</v>
      </c>
      <c r="AM8" s="180">
        <v>1</v>
      </c>
      <c r="AN8" s="141">
        <v>1</v>
      </c>
      <c r="AO8" s="141">
        <v>1</v>
      </c>
      <c r="AP8" s="141">
        <v>1</v>
      </c>
      <c r="AQ8" s="180">
        <v>1</v>
      </c>
      <c r="AR8" s="141">
        <v>1</v>
      </c>
      <c r="AS8" s="141"/>
      <c r="AT8" s="180">
        <v>1</v>
      </c>
      <c r="AU8" s="180"/>
      <c r="AV8" s="140">
        <v>1</v>
      </c>
      <c r="AW8" s="139">
        <v>0</v>
      </c>
      <c r="AX8" s="139">
        <v>0</v>
      </c>
      <c r="AY8" s="139">
        <v>0</v>
      </c>
      <c r="AZ8" s="139">
        <f t="shared" si="3"/>
        <v>6</v>
      </c>
      <c r="BA8" s="142">
        <v>1</v>
      </c>
      <c r="BB8" s="139">
        <f t="shared" si="0"/>
        <v>18</v>
      </c>
      <c r="BD8">
        <v>0</v>
      </c>
      <c r="BE8" s="191">
        <v>1</v>
      </c>
      <c r="BF8" s="166">
        <v>2</v>
      </c>
      <c r="BG8" s="166">
        <v>3</v>
      </c>
      <c r="BH8" s="166">
        <v>4</v>
      </c>
      <c r="BI8" s="166">
        <v>5</v>
      </c>
      <c r="BJ8" s="166">
        <v>6</v>
      </c>
      <c r="BK8" s="193">
        <v>7</v>
      </c>
    </row>
    <row r="9" spans="1:63" ht="13.5" thickBot="1" x14ac:dyDescent="0.25">
      <c r="A9" s="165" t="s">
        <v>31</v>
      </c>
      <c r="B9" s="6" t="s">
        <v>32</v>
      </c>
      <c r="C9" s="6" t="s">
        <v>32</v>
      </c>
      <c r="D9" s="2">
        <v>14</v>
      </c>
      <c r="E9" s="3">
        <f t="shared" ca="1" si="1"/>
        <v>40934</v>
      </c>
      <c r="F9" s="4">
        <v>6</v>
      </c>
      <c r="G9" s="3">
        <f t="shared" ca="1" si="2"/>
        <v>45864</v>
      </c>
      <c r="H9" s="166">
        <f>COUNTIF(Prüfungsliste!AY$4:AY$23,MV!C9)</f>
        <v>0</v>
      </c>
      <c r="I9" s="166">
        <f>COUNTIF(Prüfungsliste!G$4:G$23,MV!C9)</f>
        <v>0</v>
      </c>
      <c r="J9" s="166" t="s">
        <v>121</v>
      </c>
      <c r="K9" s="166" t="s">
        <v>131</v>
      </c>
      <c r="L9" s="166" t="str">
        <f>""</f>
        <v/>
      </c>
      <c r="M9" s="167" t="s">
        <v>136</v>
      </c>
      <c r="P9" s="158" t="s">
        <v>178</v>
      </c>
      <c r="Q9" s="141">
        <v>1</v>
      </c>
      <c r="R9" s="141">
        <v>1</v>
      </c>
      <c r="S9" s="141">
        <v>1</v>
      </c>
      <c r="T9" s="141">
        <v>1</v>
      </c>
      <c r="U9" s="141">
        <v>1</v>
      </c>
      <c r="V9" s="180">
        <v>1</v>
      </c>
      <c r="W9" s="141">
        <v>1</v>
      </c>
      <c r="X9" s="141">
        <v>1</v>
      </c>
      <c r="Y9" s="141">
        <v>1</v>
      </c>
      <c r="Z9" s="141">
        <v>1</v>
      </c>
      <c r="AA9" s="141">
        <v>1</v>
      </c>
      <c r="AB9" s="180">
        <v>1</v>
      </c>
      <c r="AC9" s="141">
        <v>1</v>
      </c>
      <c r="AD9" s="141">
        <v>1</v>
      </c>
      <c r="AE9" s="141">
        <v>1</v>
      </c>
      <c r="AF9" s="141">
        <v>1</v>
      </c>
      <c r="AG9" s="141">
        <v>1</v>
      </c>
      <c r="AH9" s="141">
        <v>1</v>
      </c>
      <c r="AI9" s="141">
        <v>1</v>
      </c>
      <c r="AJ9" s="180">
        <v>1</v>
      </c>
      <c r="AK9" s="141">
        <v>1</v>
      </c>
      <c r="AL9" s="141">
        <v>1</v>
      </c>
      <c r="AM9" s="180">
        <v>1</v>
      </c>
      <c r="AN9" s="141">
        <v>1</v>
      </c>
      <c r="AO9" s="141">
        <v>1</v>
      </c>
      <c r="AP9" s="141">
        <v>1</v>
      </c>
      <c r="AQ9" s="180">
        <v>1</v>
      </c>
      <c r="AR9" s="141">
        <v>1</v>
      </c>
      <c r="AS9" s="141"/>
      <c r="AT9" s="180">
        <v>1</v>
      </c>
      <c r="AU9" s="180"/>
      <c r="AV9" s="140">
        <v>1</v>
      </c>
      <c r="AW9" s="139">
        <v>0</v>
      </c>
      <c r="AX9" s="139">
        <v>0</v>
      </c>
      <c r="AY9" s="139">
        <v>0</v>
      </c>
      <c r="AZ9" s="139">
        <f t="shared" si="3"/>
        <v>6</v>
      </c>
      <c r="BA9" s="142">
        <v>2</v>
      </c>
      <c r="BB9" s="139">
        <f t="shared" si="0"/>
        <v>18</v>
      </c>
      <c r="BD9">
        <v>0</v>
      </c>
      <c r="BE9" s="194">
        <v>1</v>
      </c>
      <c r="BF9" s="195">
        <v>2</v>
      </c>
      <c r="BG9" s="195">
        <v>3</v>
      </c>
      <c r="BH9" s="195">
        <v>4</v>
      </c>
      <c r="BI9" s="195">
        <v>5</v>
      </c>
      <c r="BJ9" s="195">
        <v>6</v>
      </c>
      <c r="BK9" s="196">
        <v>7</v>
      </c>
    </row>
    <row r="10" spans="1:63" x14ac:dyDescent="0.2">
      <c r="A10" s="165" t="s">
        <v>32</v>
      </c>
      <c r="B10" s="5" t="s">
        <v>33</v>
      </c>
      <c r="C10" s="5" t="s">
        <v>33</v>
      </c>
      <c r="D10" s="2">
        <v>16</v>
      </c>
      <c r="E10" s="3">
        <f t="shared" ca="1" si="1"/>
        <v>40204</v>
      </c>
      <c r="F10" s="4">
        <v>12</v>
      </c>
      <c r="G10" s="3">
        <f t="shared" ca="1" si="2"/>
        <v>45683</v>
      </c>
      <c r="H10" s="166">
        <f>COUNTIF(Prüfungsliste!AY$4:AY$23,MV!C10)</f>
        <v>0</v>
      </c>
      <c r="I10" s="166">
        <f>COUNTIF(Prüfungsliste!G$4:G$23,MV!C10)</f>
        <v>0</v>
      </c>
      <c r="J10" s="166" t="s">
        <v>122</v>
      </c>
      <c r="K10" s="166" t="s">
        <v>132</v>
      </c>
      <c r="L10" s="166" t="str">
        <f>""</f>
        <v/>
      </c>
      <c r="M10" s="167" t="s">
        <v>136</v>
      </c>
      <c r="P10" s="158" t="s">
        <v>179</v>
      </c>
      <c r="Q10" s="141">
        <v>1</v>
      </c>
      <c r="R10" s="141">
        <v>1</v>
      </c>
      <c r="S10" s="141">
        <v>1</v>
      </c>
      <c r="T10" s="141">
        <v>1</v>
      </c>
      <c r="U10" s="141">
        <v>1</v>
      </c>
      <c r="V10" s="180">
        <v>1</v>
      </c>
      <c r="W10" s="141">
        <v>1</v>
      </c>
      <c r="X10" s="141">
        <v>1</v>
      </c>
      <c r="Y10" s="141">
        <v>1</v>
      </c>
      <c r="Z10" s="141">
        <v>1</v>
      </c>
      <c r="AA10" s="141">
        <v>1</v>
      </c>
      <c r="AB10" s="180">
        <v>1</v>
      </c>
      <c r="AC10" s="141">
        <v>1</v>
      </c>
      <c r="AD10" s="141">
        <v>1</v>
      </c>
      <c r="AE10" s="141">
        <v>1</v>
      </c>
      <c r="AF10" s="141">
        <v>1</v>
      </c>
      <c r="AG10" s="141">
        <v>1</v>
      </c>
      <c r="AH10" s="141">
        <v>1</v>
      </c>
      <c r="AI10" s="141">
        <v>1</v>
      </c>
      <c r="AJ10" s="180">
        <v>1</v>
      </c>
      <c r="AK10" s="141">
        <v>1</v>
      </c>
      <c r="AL10" s="141">
        <v>1</v>
      </c>
      <c r="AM10" s="180">
        <v>1</v>
      </c>
      <c r="AN10" s="141">
        <v>1</v>
      </c>
      <c r="AO10" s="141">
        <v>1</v>
      </c>
      <c r="AP10" s="141">
        <v>1</v>
      </c>
      <c r="AQ10" s="180">
        <v>1</v>
      </c>
      <c r="AR10" s="141">
        <v>1</v>
      </c>
      <c r="AS10" s="141"/>
      <c r="AT10" s="180">
        <v>1</v>
      </c>
      <c r="AU10" s="180"/>
      <c r="AV10" s="139">
        <v>1</v>
      </c>
      <c r="AW10" s="139">
        <v>0</v>
      </c>
      <c r="AX10" s="139">
        <v>0</v>
      </c>
      <c r="AY10" s="139">
        <v>0</v>
      </c>
      <c r="AZ10" s="139">
        <f t="shared" si="3"/>
        <v>6</v>
      </c>
      <c r="BA10" s="142">
        <v>2</v>
      </c>
      <c r="BB10" s="139">
        <f t="shared" si="0"/>
        <v>18</v>
      </c>
    </row>
    <row r="11" spans="1:63" x14ac:dyDescent="0.2">
      <c r="A11" s="165" t="s">
        <v>33</v>
      </c>
      <c r="B11" s="5" t="s">
        <v>22</v>
      </c>
      <c r="C11" s="5" t="s">
        <v>22</v>
      </c>
      <c r="D11" s="2">
        <v>18</v>
      </c>
      <c r="E11" s="3">
        <f t="shared" ca="1" si="1"/>
        <v>39473</v>
      </c>
      <c r="F11" s="4">
        <v>12</v>
      </c>
      <c r="G11" s="3">
        <f t="shared" ca="1" si="2"/>
        <v>45683</v>
      </c>
      <c r="H11" s="166">
        <f>COUNTIF(Prüfungsliste!AY$4:AY$23,MV!C11)</f>
        <v>0</v>
      </c>
      <c r="I11" s="166">
        <f>COUNTIF(Prüfungsliste!G$4:G$23,MV!C11)</f>
        <v>0</v>
      </c>
      <c r="J11" s="166" t="s">
        <v>122</v>
      </c>
      <c r="K11" s="166" t="s">
        <v>133</v>
      </c>
      <c r="L11" s="166">
        <v>1</v>
      </c>
      <c r="M11" s="167" t="s">
        <v>137</v>
      </c>
      <c r="P11" s="158" t="s">
        <v>180</v>
      </c>
      <c r="Q11" s="141">
        <v>1</v>
      </c>
      <c r="R11" s="141">
        <v>1</v>
      </c>
      <c r="S11" s="141">
        <v>1</v>
      </c>
      <c r="T11" s="141">
        <v>1</v>
      </c>
      <c r="U11" s="141">
        <v>1</v>
      </c>
      <c r="V11" s="180">
        <v>1</v>
      </c>
      <c r="W11" s="141">
        <v>1</v>
      </c>
      <c r="X11" s="141">
        <v>1</v>
      </c>
      <c r="Y11" s="141">
        <v>1</v>
      </c>
      <c r="Z11" s="141">
        <v>1</v>
      </c>
      <c r="AA11" s="141">
        <v>1</v>
      </c>
      <c r="AB11" s="180">
        <v>1</v>
      </c>
      <c r="AC11" s="141">
        <v>1</v>
      </c>
      <c r="AD11" s="141">
        <v>1</v>
      </c>
      <c r="AE11" s="141">
        <v>1</v>
      </c>
      <c r="AF11" s="141">
        <v>1</v>
      </c>
      <c r="AG11" s="141">
        <v>1</v>
      </c>
      <c r="AH11" s="141">
        <v>1</v>
      </c>
      <c r="AI11" s="141">
        <v>1</v>
      </c>
      <c r="AJ11" s="180">
        <v>1</v>
      </c>
      <c r="AK11" s="141">
        <v>1</v>
      </c>
      <c r="AL11" s="141">
        <v>1</v>
      </c>
      <c r="AM11" s="180">
        <v>1</v>
      </c>
      <c r="AN11" s="141">
        <v>1</v>
      </c>
      <c r="AO11" s="141">
        <v>1</v>
      </c>
      <c r="AP11" s="141">
        <v>1</v>
      </c>
      <c r="AQ11" s="180">
        <v>1</v>
      </c>
      <c r="AR11" s="141">
        <v>1</v>
      </c>
      <c r="AS11" s="141"/>
      <c r="AT11" s="180">
        <v>1</v>
      </c>
      <c r="AU11" s="180">
        <v>1</v>
      </c>
      <c r="AV11" s="139">
        <v>1</v>
      </c>
      <c r="AW11" s="139">
        <v>1</v>
      </c>
      <c r="AX11" s="139">
        <v>1</v>
      </c>
      <c r="AY11" s="139">
        <v>1</v>
      </c>
      <c r="AZ11" s="139">
        <f t="shared" si="3"/>
        <v>7</v>
      </c>
      <c r="BA11" s="142">
        <v>3</v>
      </c>
      <c r="BB11" s="139">
        <f t="shared" si="0"/>
        <v>21</v>
      </c>
    </row>
    <row r="12" spans="1:63" x14ac:dyDescent="0.2">
      <c r="A12" s="165" t="s">
        <v>22</v>
      </c>
      <c r="B12" s="5" t="s">
        <v>23</v>
      </c>
      <c r="C12" s="5" t="s">
        <v>23</v>
      </c>
      <c r="D12" s="5"/>
      <c r="E12" s="3"/>
      <c r="F12" s="4">
        <v>24</v>
      </c>
      <c r="G12" s="3">
        <f t="shared" ca="1" si="2"/>
        <v>45317</v>
      </c>
      <c r="H12" s="166">
        <f>COUNTIF(Prüfungsliste!AY$4:AY$23,MV!C12)</f>
        <v>0</v>
      </c>
      <c r="I12" s="166">
        <f>COUNTIF(Prüfungsliste!G$4:G$23,MV!C12)</f>
        <v>0</v>
      </c>
      <c r="J12" s="166" t="s">
        <v>121</v>
      </c>
      <c r="K12" s="166" t="s">
        <v>133</v>
      </c>
      <c r="L12" s="168">
        <v>2</v>
      </c>
      <c r="M12" s="167" t="s">
        <v>137</v>
      </c>
      <c r="P12" s="158" t="s">
        <v>181</v>
      </c>
      <c r="Q12" s="141">
        <v>1</v>
      </c>
      <c r="R12" s="141">
        <v>1</v>
      </c>
      <c r="S12" s="141">
        <v>1</v>
      </c>
      <c r="T12" s="141">
        <v>1</v>
      </c>
      <c r="U12" s="141">
        <v>1</v>
      </c>
      <c r="V12" s="180">
        <v>1</v>
      </c>
      <c r="W12" s="141">
        <v>1</v>
      </c>
      <c r="X12" s="141">
        <v>1</v>
      </c>
      <c r="Y12" s="141">
        <v>1</v>
      </c>
      <c r="Z12" s="141">
        <v>1</v>
      </c>
      <c r="AA12" s="141">
        <v>1</v>
      </c>
      <c r="AB12" s="180">
        <v>1</v>
      </c>
      <c r="AC12" s="141">
        <v>1</v>
      </c>
      <c r="AD12" s="141">
        <v>1</v>
      </c>
      <c r="AE12" s="141">
        <v>1</v>
      </c>
      <c r="AF12" s="141">
        <v>1</v>
      </c>
      <c r="AG12" s="141">
        <v>1</v>
      </c>
      <c r="AH12" s="141">
        <v>1</v>
      </c>
      <c r="AI12" s="141">
        <v>1</v>
      </c>
      <c r="AJ12" s="180">
        <v>1</v>
      </c>
      <c r="AK12" s="141">
        <v>1</v>
      </c>
      <c r="AL12" s="141">
        <v>1</v>
      </c>
      <c r="AM12" s="180">
        <v>1</v>
      </c>
      <c r="AN12" s="141">
        <v>1</v>
      </c>
      <c r="AO12" s="141">
        <v>1</v>
      </c>
      <c r="AP12" s="141">
        <v>1</v>
      </c>
      <c r="AQ12" s="180">
        <v>1</v>
      </c>
      <c r="AR12" s="141">
        <v>1</v>
      </c>
      <c r="AS12" s="141">
        <v>1</v>
      </c>
      <c r="AT12" s="180">
        <v>1</v>
      </c>
      <c r="AU12" s="180">
        <v>1</v>
      </c>
      <c r="AV12" s="139">
        <v>1</v>
      </c>
      <c r="AW12" s="139">
        <v>1</v>
      </c>
      <c r="AX12" s="139">
        <v>1</v>
      </c>
      <c r="AY12" s="139">
        <v>0</v>
      </c>
      <c r="AZ12" s="139">
        <f t="shared" si="3"/>
        <v>7</v>
      </c>
      <c r="BA12" s="142">
        <v>3</v>
      </c>
      <c r="BB12" s="139">
        <f t="shared" si="0"/>
        <v>21</v>
      </c>
    </row>
    <row r="13" spans="1:63" x14ac:dyDescent="0.2">
      <c r="A13" s="165" t="s">
        <v>23</v>
      </c>
      <c r="B13" s="5" t="s">
        <v>24</v>
      </c>
      <c r="C13" s="5" t="s">
        <v>24</v>
      </c>
      <c r="D13" s="5"/>
      <c r="E13" s="3"/>
      <c r="F13" s="4">
        <v>36</v>
      </c>
      <c r="G13" s="3">
        <f t="shared" ca="1" si="2"/>
        <v>44952</v>
      </c>
      <c r="H13" s="166">
        <f>COUNTIF(Prüfungsliste!AY$4:AY$23,MV!C13)</f>
        <v>0</v>
      </c>
      <c r="I13" s="166">
        <f>COUNTIF(Prüfungsliste!G$4:G$23,MV!C13)</f>
        <v>0</v>
      </c>
      <c r="J13" s="166" t="s">
        <v>120</v>
      </c>
      <c r="K13" s="166" t="s">
        <v>133</v>
      </c>
      <c r="L13" s="168">
        <v>3</v>
      </c>
      <c r="M13" s="167" t="s">
        <v>137</v>
      </c>
      <c r="P13" s="158" t="s">
        <v>182</v>
      </c>
      <c r="Q13" s="141">
        <v>1</v>
      </c>
      <c r="R13" s="141">
        <v>1</v>
      </c>
      <c r="S13" s="141">
        <v>1</v>
      </c>
      <c r="T13" s="141">
        <v>1</v>
      </c>
      <c r="U13" s="141">
        <v>1</v>
      </c>
      <c r="V13" s="180">
        <v>1</v>
      </c>
      <c r="W13" s="141">
        <v>1</v>
      </c>
      <c r="X13" s="141">
        <v>1</v>
      </c>
      <c r="Y13" s="141">
        <v>1</v>
      </c>
      <c r="Z13" s="141">
        <v>1</v>
      </c>
      <c r="AA13" s="141">
        <v>1</v>
      </c>
      <c r="AB13" s="180">
        <v>1</v>
      </c>
      <c r="AC13" s="141">
        <v>1</v>
      </c>
      <c r="AD13" s="141">
        <v>1</v>
      </c>
      <c r="AE13" s="141">
        <v>1</v>
      </c>
      <c r="AF13" s="141">
        <v>1</v>
      </c>
      <c r="AG13" s="141">
        <v>1</v>
      </c>
      <c r="AH13" s="141">
        <v>1</v>
      </c>
      <c r="AI13" s="141">
        <v>1</v>
      </c>
      <c r="AJ13" s="180">
        <v>1</v>
      </c>
      <c r="AK13" s="141">
        <v>1</v>
      </c>
      <c r="AL13" s="141">
        <v>1</v>
      </c>
      <c r="AM13" s="180">
        <v>1</v>
      </c>
      <c r="AN13" s="141">
        <v>1</v>
      </c>
      <c r="AO13" s="141">
        <v>1</v>
      </c>
      <c r="AP13" s="141">
        <v>1</v>
      </c>
      <c r="AQ13" s="180">
        <v>1</v>
      </c>
      <c r="AR13" s="141"/>
      <c r="AS13" s="141">
        <v>1</v>
      </c>
      <c r="AT13" s="180">
        <v>1</v>
      </c>
      <c r="AU13" s="180">
        <v>1</v>
      </c>
      <c r="AV13" s="139">
        <v>1</v>
      </c>
      <c r="AW13" s="139">
        <v>1</v>
      </c>
      <c r="AX13" s="139">
        <v>1</v>
      </c>
      <c r="AY13" s="139">
        <v>0</v>
      </c>
      <c r="AZ13" s="139">
        <f t="shared" si="3"/>
        <v>7</v>
      </c>
      <c r="BA13" s="142">
        <v>3</v>
      </c>
      <c r="BB13" s="139">
        <f t="shared" si="0"/>
        <v>21</v>
      </c>
    </row>
    <row r="14" spans="1:63" x14ac:dyDescent="0.2">
      <c r="A14" s="165" t="s">
        <v>24</v>
      </c>
      <c r="B14" s="5" t="s">
        <v>25</v>
      </c>
      <c r="C14" s="5" t="s">
        <v>25</v>
      </c>
      <c r="D14" s="5"/>
      <c r="E14" s="3"/>
      <c r="F14" s="4">
        <v>48</v>
      </c>
      <c r="G14" s="3">
        <f t="shared" ca="1" si="2"/>
        <v>44587</v>
      </c>
      <c r="H14" s="166">
        <f>COUNTIF(Prüfungsliste!AY$4:AY$23,MV!C14)</f>
        <v>0</v>
      </c>
      <c r="I14" s="166">
        <f>COUNTIF(Prüfungsliste!G$4:G$23,MV!C14)</f>
        <v>0</v>
      </c>
      <c r="J14" s="166" t="s">
        <v>119</v>
      </c>
      <c r="K14" s="166" t="s">
        <v>133</v>
      </c>
      <c r="L14" s="168">
        <v>4</v>
      </c>
      <c r="M14" s="167" t="s">
        <v>137</v>
      </c>
      <c r="P14" s="158" t="s">
        <v>183</v>
      </c>
      <c r="Q14" s="141">
        <v>1</v>
      </c>
      <c r="R14" s="141">
        <v>1</v>
      </c>
      <c r="S14" s="141">
        <v>1</v>
      </c>
      <c r="T14" s="141">
        <v>1</v>
      </c>
      <c r="U14" s="141">
        <v>1</v>
      </c>
      <c r="V14" s="180">
        <v>1</v>
      </c>
      <c r="W14" s="141">
        <v>1</v>
      </c>
      <c r="X14" s="141">
        <v>1</v>
      </c>
      <c r="Y14" s="141">
        <v>1</v>
      </c>
      <c r="Z14" s="141">
        <v>1</v>
      </c>
      <c r="AA14" s="141">
        <v>1</v>
      </c>
      <c r="AB14" s="180">
        <v>1</v>
      </c>
      <c r="AC14" s="141">
        <v>1</v>
      </c>
      <c r="AD14" s="141">
        <v>1</v>
      </c>
      <c r="AE14" s="141">
        <v>1</v>
      </c>
      <c r="AF14" s="141">
        <v>1</v>
      </c>
      <c r="AG14" s="141">
        <v>1</v>
      </c>
      <c r="AH14" s="141">
        <v>1</v>
      </c>
      <c r="AI14" s="141">
        <v>1</v>
      </c>
      <c r="AJ14" s="180">
        <v>1</v>
      </c>
      <c r="AK14" s="141">
        <v>1</v>
      </c>
      <c r="AL14" s="141">
        <v>1</v>
      </c>
      <c r="AM14" s="180">
        <v>1</v>
      </c>
      <c r="AN14" s="141">
        <v>1</v>
      </c>
      <c r="AO14" s="141">
        <v>1</v>
      </c>
      <c r="AP14" s="141">
        <v>1</v>
      </c>
      <c r="AQ14" s="180">
        <v>1</v>
      </c>
      <c r="AR14" s="141"/>
      <c r="AS14" s="141">
        <v>1</v>
      </c>
      <c r="AT14" s="180">
        <v>1</v>
      </c>
      <c r="AU14" s="180">
        <v>1</v>
      </c>
      <c r="AV14" s="139">
        <v>1</v>
      </c>
      <c r="AW14" s="139">
        <v>1</v>
      </c>
      <c r="AX14" s="139">
        <v>1</v>
      </c>
      <c r="AY14" s="139">
        <v>0</v>
      </c>
      <c r="AZ14" s="139">
        <f t="shared" si="3"/>
        <v>7</v>
      </c>
      <c r="BA14" s="142">
        <v>3</v>
      </c>
      <c r="BB14" s="139">
        <f t="shared" si="0"/>
        <v>21</v>
      </c>
    </row>
    <row r="15" spans="1:63" ht="13.5" thickBot="1" x14ac:dyDescent="0.25">
      <c r="A15" s="169" t="s">
        <v>25</v>
      </c>
      <c r="B15" s="170" t="s">
        <v>34</v>
      </c>
      <c r="C15" s="170" t="s">
        <v>34</v>
      </c>
      <c r="D15" s="170"/>
      <c r="E15" s="171"/>
      <c r="F15" s="172">
        <v>60</v>
      </c>
      <c r="G15" s="171">
        <f t="shared" ca="1" si="2"/>
        <v>44222</v>
      </c>
      <c r="H15" s="173">
        <f>COUNTIF(Prüfungsliste!AY$4:AY$23,MV!C15)</f>
        <v>0</v>
      </c>
      <c r="I15" s="173">
        <f>COUNTIF(Prüfungsliste!G$4:G$23,MV!C15)</f>
        <v>0</v>
      </c>
      <c r="J15" s="173" t="s">
        <v>118</v>
      </c>
      <c r="K15" s="173" t="s">
        <v>133</v>
      </c>
      <c r="L15" s="174">
        <v>5</v>
      </c>
      <c r="M15" s="175" t="s">
        <v>137</v>
      </c>
      <c r="P15" s="158" t="s">
        <v>184</v>
      </c>
      <c r="Q15" s="141">
        <v>1</v>
      </c>
      <c r="R15" s="141">
        <v>1</v>
      </c>
      <c r="S15" s="141">
        <v>1</v>
      </c>
      <c r="T15" s="141">
        <v>1</v>
      </c>
      <c r="U15" s="141">
        <v>1</v>
      </c>
      <c r="V15" s="180">
        <v>1</v>
      </c>
      <c r="W15" s="141">
        <v>1</v>
      </c>
      <c r="X15" s="141">
        <v>1</v>
      </c>
      <c r="Y15" s="141">
        <v>1</v>
      </c>
      <c r="Z15" s="141">
        <v>1</v>
      </c>
      <c r="AA15" s="141">
        <v>1</v>
      </c>
      <c r="AB15" s="180">
        <v>1</v>
      </c>
      <c r="AC15" s="141">
        <v>1</v>
      </c>
      <c r="AD15" s="141">
        <v>1</v>
      </c>
      <c r="AE15" s="141">
        <v>1</v>
      </c>
      <c r="AF15" s="141">
        <v>1</v>
      </c>
      <c r="AG15" s="141">
        <v>1</v>
      </c>
      <c r="AH15" s="141">
        <v>1</v>
      </c>
      <c r="AI15" s="141">
        <v>1</v>
      </c>
      <c r="AJ15" s="180">
        <v>1</v>
      </c>
      <c r="AK15" s="141">
        <v>1</v>
      </c>
      <c r="AL15" s="141">
        <v>1</v>
      </c>
      <c r="AM15" s="180">
        <v>1</v>
      </c>
      <c r="AN15" s="141">
        <v>1</v>
      </c>
      <c r="AO15" s="141">
        <v>1</v>
      </c>
      <c r="AP15" s="141">
        <v>1</v>
      </c>
      <c r="AQ15" s="180">
        <v>1</v>
      </c>
      <c r="AR15" s="141"/>
      <c r="AS15" s="141">
        <v>1</v>
      </c>
      <c r="AT15" s="180">
        <v>1</v>
      </c>
      <c r="AU15" s="180">
        <v>1</v>
      </c>
      <c r="AV15" s="139">
        <v>1</v>
      </c>
      <c r="AW15" s="139">
        <v>1</v>
      </c>
      <c r="AX15" s="139">
        <v>1</v>
      </c>
      <c r="AY15" s="139">
        <v>0</v>
      </c>
      <c r="AZ15" s="139">
        <f t="shared" si="3"/>
        <v>7</v>
      </c>
      <c r="BA15" s="142">
        <v>3</v>
      </c>
      <c r="BB15" s="139">
        <f t="shared" si="0"/>
        <v>21</v>
      </c>
    </row>
    <row r="16" spans="1:63" ht="13.5" thickTop="1" x14ac:dyDescent="0.2">
      <c r="A16" s="5"/>
      <c r="B16" s="5"/>
      <c r="C16" s="5"/>
      <c r="D16" s="5"/>
      <c r="E16" s="3"/>
      <c r="F16" s="4"/>
      <c r="G16" s="3"/>
      <c r="P16" s="158" t="s">
        <v>201</v>
      </c>
      <c r="Q16" s="141">
        <v>1</v>
      </c>
      <c r="R16" s="141">
        <v>1</v>
      </c>
      <c r="S16" s="141">
        <v>1</v>
      </c>
      <c r="T16" s="141">
        <v>1</v>
      </c>
      <c r="U16" s="141">
        <v>1</v>
      </c>
      <c r="V16" s="180">
        <v>1</v>
      </c>
      <c r="W16" s="141">
        <v>1</v>
      </c>
      <c r="X16" s="141">
        <v>1</v>
      </c>
      <c r="Y16" s="141"/>
      <c r="Z16" s="141">
        <v>1</v>
      </c>
      <c r="AA16" s="141">
        <v>1</v>
      </c>
      <c r="AB16" s="180">
        <v>1</v>
      </c>
      <c r="AC16" s="141">
        <v>1</v>
      </c>
      <c r="AD16" s="141">
        <v>1</v>
      </c>
      <c r="AE16" s="141"/>
      <c r="AF16" s="141"/>
      <c r="AG16" s="141">
        <v>1</v>
      </c>
      <c r="AH16" s="141"/>
      <c r="AI16" s="141"/>
      <c r="AJ16" s="180">
        <v>1</v>
      </c>
      <c r="AK16" s="141"/>
      <c r="AL16" s="141"/>
      <c r="AM16" s="180"/>
      <c r="AN16" s="141"/>
      <c r="AO16" s="141"/>
      <c r="AP16" s="141"/>
      <c r="AQ16" s="180"/>
      <c r="AR16" s="141">
        <v>1</v>
      </c>
      <c r="AS16" s="141"/>
      <c r="AT16" s="180">
        <v>1</v>
      </c>
      <c r="AU16" s="180"/>
      <c r="AV16" s="140">
        <v>1</v>
      </c>
      <c r="AW16" s="139">
        <v>0</v>
      </c>
      <c r="AX16" s="139">
        <v>0</v>
      </c>
      <c r="AY16" s="139">
        <v>0</v>
      </c>
      <c r="AZ16" s="139">
        <f t="shared" si="3"/>
        <v>4</v>
      </c>
      <c r="BA16" s="142">
        <v>1</v>
      </c>
      <c r="BB16" s="139">
        <f t="shared" si="0"/>
        <v>12</v>
      </c>
    </row>
    <row r="17" spans="1:69" x14ac:dyDescent="0.2">
      <c r="D17" s="201" t="s">
        <v>220</v>
      </c>
      <c r="E17" s="1"/>
      <c r="F17"/>
      <c r="P17" s="158" t="s">
        <v>185</v>
      </c>
      <c r="Q17" s="141">
        <v>1</v>
      </c>
      <c r="R17" s="141">
        <v>1</v>
      </c>
      <c r="S17" s="141">
        <v>1</v>
      </c>
      <c r="T17" s="141">
        <v>1</v>
      </c>
      <c r="U17" s="141">
        <v>1</v>
      </c>
      <c r="V17" s="180">
        <v>1</v>
      </c>
      <c r="W17" s="141">
        <v>1</v>
      </c>
      <c r="X17" s="141">
        <v>1</v>
      </c>
      <c r="Y17" s="141"/>
      <c r="Z17" s="141">
        <v>1</v>
      </c>
      <c r="AA17" s="141">
        <v>1</v>
      </c>
      <c r="AB17" s="180">
        <v>1</v>
      </c>
      <c r="AC17" s="141">
        <v>1</v>
      </c>
      <c r="AD17" s="141">
        <v>1</v>
      </c>
      <c r="AE17" s="141"/>
      <c r="AF17" s="141"/>
      <c r="AG17" s="141">
        <v>1</v>
      </c>
      <c r="AH17" s="141">
        <v>1</v>
      </c>
      <c r="AI17" s="141"/>
      <c r="AJ17" s="180">
        <v>1</v>
      </c>
      <c r="AK17" s="141">
        <v>1</v>
      </c>
      <c r="AL17" s="141">
        <v>1</v>
      </c>
      <c r="AM17" s="180">
        <v>1</v>
      </c>
      <c r="AN17" s="141"/>
      <c r="AO17" s="141"/>
      <c r="AP17" s="141"/>
      <c r="AQ17" s="180"/>
      <c r="AR17" s="141">
        <v>1</v>
      </c>
      <c r="AS17" s="141"/>
      <c r="AT17" s="180">
        <v>1</v>
      </c>
      <c r="AU17" s="180"/>
      <c r="AV17" s="140">
        <v>1</v>
      </c>
      <c r="AW17" s="139">
        <v>0</v>
      </c>
      <c r="AX17" s="139">
        <v>0</v>
      </c>
      <c r="AY17" s="139">
        <v>0</v>
      </c>
      <c r="AZ17" s="139">
        <f t="shared" si="3"/>
        <v>5</v>
      </c>
      <c r="BA17" s="142">
        <v>1</v>
      </c>
      <c r="BB17" s="139">
        <f t="shared" si="0"/>
        <v>15</v>
      </c>
    </row>
    <row r="18" spans="1:69" x14ac:dyDescent="0.2">
      <c r="D18" s="82" t="s">
        <v>106</v>
      </c>
      <c r="E18" s="82" t="s">
        <v>12</v>
      </c>
      <c r="F18" s="82" t="s">
        <v>107</v>
      </c>
      <c r="P18" s="158" t="s">
        <v>186</v>
      </c>
      <c r="Q18" s="141">
        <v>1</v>
      </c>
      <c r="R18" s="141">
        <v>1</v>
      </c>
      <c r="S18" s="141">
        <v>1</v>
      </c>
      <c r="T18" s="141">
        <v>1</v>
      </c>
      <c r="U18" s="141">
        <v>1</v>
      </c>
      <c r="V18" s="180">
        <v>1</v>
      </c>
      <c r="W18" s="141">
        <v>1</v>
      </c>
      <c r="X18" s="141">
        <v>1</v>
      </c>
      <c r="Y18" s="141"/>
      <c r="Z18" s="141">
        <v>1</v>
      </c>
      <c r="AA18" s="141">
        <v>1</v>
      </c>
      <c r="AB18" s="180">
        <v>1</v>
      </c>
      <c r="AC18" s="141">
        <v>1</v>
      </c>
      <c r="AD18" s="141">
        <v>1</v>
      </c>
      <c r="AE18" s="141"/>
      <c r="AF18" s="141"/>
      <c r="AG18" s="141">
        <v>1</v>
      </c>
      <c r="AH18" s="141">
        <v>1</v>
      </c>
      <c r="AI18" s="141"/>
      <c r="AJ18" s="180">
        <v>1</v>
      </c>
      <c r="AK18" s="141">
        <v>1</v>
      </c>
      <c r="AL18" s="141">
        <v>1</v>
      </c>
      <c r="AM18" s="180">
        <v>1</v>
      </c>
      <c r="AN18" s="141">
        <v>1</v>
      </c>
      <c r="AO18" s="141"/>
      <c r="AP18" s="141"/>
      <c r="AQ18" s="180">
        <v>1</v>
      </c>
      <c r="AR18" s="141">
        <v>1</v>
      </c>
      <c r="AS18" s="141"/>
      <c r="AT18" s="180">
        <v>1</v>
      </c>
      <c r="AU18" s="180"/>
      <c r="AV18" s="140">
        <v>1</v>
      </c>
      <c r="AW18" s="139">
        <v>0</v>
      </c>
      <c r="AX18" s="139">
        <v>0</v>
      </c>
      <c r="AY18" s="139">
        <v>0</v>
      </c>
      <c r="AZ18" s="139">
        <f t="shared" si="3"/>
        <v>6</v>
      </c>
      <c r="BA18" s="142">
        <v>1</v>
      </c>
      <c r="BB18" s="139">
        <f t="shared" si="0"/>
        <v>18</v>
      </c>
    </row>
    <row r="19" spans="1:69" x14ac:dyDescent="0.2">
      <c r="D19" s="83" t="s">
        <v>146</v>
      </c>
      <c r="E19" s="85">
        <v>45714</v>
      </c>
      <c r="F19" s="84" t="s">
        <v>147</v>
      </c>
      <c r="P19" s="158" t="s">
        <v>187</v>
      </c>
      <c r="Q19" s="141">
        <v>1</v>
      </c>
      <c r="R19" s="141">
        <v>1</v>
      </c>
      <c r="S19" s="141">
        <v>1</v>
      </c>
      <c r="T19" s="141">
        <v>1</v>
      </c>
      <c r="U19" s="141">
        <v>1</v>
      </c>
      <c r="V19" s="180">
        <v>1</v>
      </c>
      <c r="W19" s="141">
        <v>1</v>
      </c>
      <c r="X19" s="141">
        <v>1</v>
      </c>
      <c r="Y19" s="141">
        <v>1</v>
      </c>
      <c r="Z19" s="141">
        <v>1</v>
      </c>
      <c r="AA19" s="141">
        <v>1</v>
      </c>
      <c r="AB19" s="180">
        <v>1</v>
      </c>
      <c r="AC19" s="141">
        <v>1</v>
      </c>
      <c r="AD19" s="141">
        <v>1</v>
      </c>
      <c r="AE19" s="141"/>
      <c r="AF19" s="141">
        <v>1</v>
      </c>
      <c r="AG19" s="141">
        <v>1</v>
      </c>
      <c r="AH19" s="141">
        <v>1</v>
      </c>
      <c r="AI19" s="141"/>
      <c r="AJ19" s="180">
        <v>1</v>
      </c>
      <c r="AK19" s="141">
        <v>1</v>
      </c>
      <c r="AL19" s="141">
        <v>1</v>
      </c>
      <c r="AM19" s="180">
        <v>1</v>
      </c>
      <c r="AN19" s="141">
        <v>1</v>
      </c>
      <c r="AO19" s="141"/>
      <c r="AP19" s="141"/>
      <c r="AQ19" s="180">
        <v>1</v>
      </c>
      <c r="AR19" s="141">
        <v>1</v>
      </c>
      <c r="AS19" s="141"/>
      <c r="AT19" s="180">
        <v>1</v>
      </c>
      <c r="AU19" s="180"/>
      <c r="AV19" s="140">
        <v>1</v>
      </c>
      <c r="AW19" s="139">
        <v>0</v>
      </c>
      <c r="AX19" s="139">
        <v>0</v>
      </c>
      <c r="AY19" s="139">
        <v>0</v>
      </c>
      <c r="AZ19" s="139">
        <f t="shared" si="3"/>
        <v>6</v>
      </c>
      <c r="BA19" s="142">
        <v>1</v>
      </c>
      <c r="BB19" s="139">
        <f t="shared" si="0"/>
        <v>18</v>
      </c>
    </row>
    <row r="20" spans="1:69" x14ac:dyDescent="0.2">
      <c r="A20" s="5"/>
      <c r="B20" s="6"/>
      <c r="C20" s="6"/>
      <c r="D20" s="5" t="s">
        <v>218</v>
      </c>
      <c r="E20" s="3">
        <v>46028</v>
      </c>
      <c r="F20" s="200" t="s">
        <v>219</v>
      </c>
      <c r="P20" s="158" t="s">
        <v>188</v>
      </c>
      <c r="Q20" s="141">
        <v>1</v>
      </c>
      <c r="R20" s="141">
        <v>1</v>
      </c>
      <c r="S20" s="141">
        <v>1</v>
      </c>
      <c r="T20" s="141">
        <v>1</v>
      </c>
      <c r="U20" s="141">
        <v>1</v>
      </c>
      <c r="V20" s="180">
        <v>1</v>
      </c>
      <c r="W20" s="141">
        <v>1</v>
      </c>
      <c r="X20" s="141">
        <v>1</v>
      </c>
      <c r="Y20" s="141">
        <v>1</v>
      </c>
      <c r="Z20" s="141">
        <v>1</v>
      </c>
      <c r="AA20" s="141">
        <v>1</v>
      </c>
      <c r="AB20" s="180">
        <v>1</v>
      </c>
      <c r="AC20" s="141">
        <v>1</v>
      </c>
      <c r="AD20" s="141">
        <v>1</v>
      </c>
      <c r="AE20" s="141"/>
      <c r="AF20" s="141">
        <v>1</v>
      </c>
      <c r="AG20" s="141">
        <v>1</v>
      </c>
      <c r="AH20" s="141">
        <v>1</v>
      </c>
      <c r="AI20" s="141"/>
      <c r="AJ20" s="180">
        <v>1</v>
      </c>
      <c r="AK20" s="141">
        <v>1</v>
      </c>
      <c r="AL20" s="141">
        <v>1</v>
      </c>
      <c r="AM20" s="180">
        <v>1</v>
      </c>
      <c r="AN20" s="141">
        <v>1</v>
      </c>
      <c r="AO20" s="141"/>
      <c r="AP20" s="141"/>
      <c r="AQ20" s="180">
        <v>1</v>
      </c>
      <c r="AR20" s="141">
        <v>1</v>
      </c>
      <c r="AS20" s="141"/>
      <c r="AT20" s="180">
        <v>1</v>
      </c>
      <c r="AU20" s="180"/>
      <c r="AV20" s="140">
        <v>1</v>
      </c>
      <c r="AW20" s="139">
        <v>0</v>
      </c>
      <c r="AX20" s="139">
        <v>0</v>
      </c>
      <c r="AY20" s="139">
        <v>0</v>
      </c>
      <c r="AZ20" s="139">
        <f t="shared" si="3"/>
        <v>6</v>
      </c>
      <c r="BA20" s="142">
        <v>1</v>
      </c>
      <c r="BB20" s="139">
        <f t="shared" si="0"/>
        <v>18</v>
      </c>
      <c r="BQ20" t="s">
        <v>101</v>
      </c>
    </row>
    <row r="21" spans="1:69" x14ac:dyDescent="0.2">
      <c r="A21" s="5"/>
      <c r="B21" s="6"/>
      <c r="C21" s="6"/>
      <c r="D21" s="5" t="s">
        <v>221</v>
      </c>
      <c r="E21" s="3">
        <v>46040</v>
      </c>
      <c r="F21" s="246" t="s">
        <v>222</v>
      </c>
      <c r="G21" s="246"/>
      <c r="H21" s="246"/>
      <c r="I21" s="246"/>
      <c r="J21" s="246"/>
      <c r="K21" s="246"/>
      <c r="L21" s="246"/>
      <c r="M21" s="246"/>
      <c r="P21" s="158" t="s">
        <v>189</v>
      </c>
      <c r="Q21" s="141">
        <v>1</v>
      </c>
      <c r="R21" s="141">
        <v>1</v>
      </c>
      <c r="S21" s="141">
        <v>1</v>
      </c>
      <c r="T21" s="141">
        <v>1</v>
      </c>
      <c r="U21" s="141">
        <v>1</v>
      </c>
      <c r="V21" s="180">
        <v>1</v>
      </c>
      <c r="W21" s="141">
        <v>1</v>
      </c>
      <c r="X21" s="141">
        <v>1</v>
      </c>
      <c r="Y21" s="141">
        <v>1</v>
      </c>
      <c r="Z21" s="141">
        <v>1</v>
      </c>
      <c r="AA21" s="141">
        <v>1</v>
      </c>
      <c r="AB21" s="180">
        <v>1</v>
      </c>
      <c r="AC21" s="141">
        <v>1</v>
      </c>
      <c r="AD21" s="141">
        <v>1</v>
      </c>
      <c r="AE21" s="141">
        <v>1</v>
      </c>
      <c r="AF21" s="141">
        <v>1</v>
      </c>
      <c r="AG21" s="141">
        <v>1</v>
      </c>
      <c r="AH21" s="141">
        <v>1</v>
      </c>
      <c r="AI21" s="141">
        <v>1</v>
      </c>
      <c r="AJ21" s="180">
        <v>1</v>
      </c>
      <c r="AK21" s="141">
        <v>1</v>
      </c>
      <c r="AL21" s="141">
        <v>1</v>
      </c>
      <c r="AM21" s="180">
        <v>1</v>
      </c>
      <c r="AN21" s="141">
        <v>1</v>
      </c>
      <c r="AO21" s="141"/>
      <c r="AP21" s="141"/>
      <c r="AQ21" s="180">
        <v>1</v>
      </c>
      <c r="AR21" s="141">
        <v>1</v>
      </c>
      <c r="AS21" s="141"/>
      <c r="AT21" s="180">
        <v>1</v>
      </c>
      <c r="AU21" s="180"/>
      <c r="AV21" s="140">
        <v>1</v>
      </c>
      <c r="AW21" s="139">
        <v>0</v>
      </c>
      <c r="AX21" s="139">
        <v>0</v>
      </c>
      <c r="AY21" s="139">
        <v>0</v>
      </c>
      <c r="AZ21" s="139">
        <f t="shared" si="3"/>
        <v>6</v>
      </c>
      <c r="BA21" s="142">
        <v>1</v>
      </c>
      <c r="BB21" s="139">
        <f t="shared" si="0"/>
        <v>18</v>
      </c>
    </row>
    <row r="22" spans="1:69" x14ac:dyDescent="0.2">
      <c r="A22" s="5"/>
      <c r="B22" s="5"/>
      <c r="C22" s="5"/>
      <c r="D22" s="5"/>
      <c r="E22" s="3"/>
      <c r="F22" s="4"/>
      <c r="P22" s="158" t="s">
        <v>190</v>
      </c>
      <c r="Q22" s="141">
        <v>1</v>
      </c>
      <c r="R22" s="141">
        <v>1</v>
      </c>
      <c r="S22" s="141">
        <v>1</v>
      </c>
      <c r="T22" s="141">
        <v>1</v>
      </c>
      <c r="U22" s="141">
        <v>1</v>
      </c>
      <c r="V22" s="180">
        <v>1</v>
      </c>
      <c r="W22" s="141">
        <v>1</v>
      </c>
      <c r="X22" s="141">
        <v>1</v>
      </c>
      <c r="Y22" s="141">
        <v>1</v>
      </c>
      <c r="Z22" s="141">
        <v>1</v>
      </c>
      <c r="AA22" s="141">
        <v>1</v>
      </c>
      <c r="AB22" s="180">
        <v>1</v>
      </c>
      <c r="AC22" s="141">
        <v>1</v>
      </c>
      <c r="AD22" s="141">
        <v>1</v>
      </c>
      <c r="AE22" s="141">
        <v>1</v>
      </c>
      <c r="AF22" s="141">
        <v>1</v>
      </c>
      <c r="AG22" s="141">
        <v>1</v>
      </c>
      <c r="AH22" s="141">
        <v>1</v>
      </c>
      <c r="AI22" s="141">
        <v>1</v>
      </c>
      <c r="AJ22" s="180">
        <v>1</v>
      </c>
      <c r="AK22" s="141">
        <v>1</v>
      </c>
      <c r="AL22" s="141">
        <v>1</v>
      </c>
      <c r="AM22" s="180">
        <v>1</v>
      </c>
      <c r="AN22" s="141">
        <v>1</v>
      </c>
      <c r="AO22" s="141">
        <v>1</v>
      </c>
      <c r="AP22" s="141"/>
      <c r="AQ22" s="180">
        <v>1</v>
      </c>
      <c r="AR22" s="141">
        <v>1</v>
      </c>
      <c r="AS22" s="141"/>
      <c r="AT22" s="180">
        <v>1</v>
      </c>
      <c r="AU22" s="180"/>
      <c r="AV22" s="140">
        <v>1</v>
      </c>
      <c r="AW22" s="139">
        <v>0</v>
      </c>
      <c r="AX22" s="139">
        <v>0</v>
      </c>
      <c r="AY22" s="139">
        <v>0</v>
      </c>
      <c r="AZ22" s="139">
        <f t="shared" si="3"/>
        <v>6</v>
      </c>
      <c r="BA22" s="142">
        <v>2</v>
      </c>
      <c r="BB22" s="139">
        <f t="shared" si="0"/>
        <v>18</v>
      </c>
    </row>
    <row r="23" spans="1:69" x14ac:dyDescent="0.2">
      <c r="A23" s="5"/>
      <c r="B23" s="5"/>
      <c r="C23" s="5"/>
      <c r="D23" s="5"/>
      <c r="E23" s="3"/>
      <c r="F23" s="4"/>
      <c r="P23" s="158" t="s">
        <v>205</v>
      </c>
      <c r="Q23" s="176"/>
      <c r="R23" s="176"/>
      <c r="S23" s="176"/>
      <c r="T23" s="176"/>
      <c r="U23" s="176"/>
      <c r="V23" s="179"/>
      <c r="W23" s="176"/>
      <c r="X23" s="176"/>
      <c r="Y23" s="176"/>
      <c r="Z23" s="176"/>
      <c r="AA23" s="176"/>
      <c r="AB23" s="179"/>
      <c r="AC23" s="176"/>
      <c r="AD23" s="176"/>
      <c r="AE23" s="176"/>
      <c r="AF23" s="176"/>
      <c r="AG23" s="176"/>
      <c r="AH23" s="176"/>
      <c r="AI23" s="176"/>
      <c r="AJ23" s="179"/>
      <c r="AK23" s="176"/>
      <c r="AL23" s="176"/>
      <c r="AM23" s="179"/>
      <c r="AN23" s="176"/>
      <c r="AO23" s="176"/>
      <c r="AP23" s="176"/>
      <c r="AQ23" s="179"/>
      <c r="AR23" s="176"/>
      <c r="AS23" s="176"/>
      <c r="AT23" s="179"/>
      <c r="AU23" s="179"/>
      <c r="AV23" s="140">
        <v>0</v>
      </c>
      <c r="AW23" s="139">
        <v>0</v>
      </c>
      <c r="AX23" s="139">
        <v>0</v>
      </c>
      <c r="AY23" s="139">
        <v>0</v>
      </c>
      <c r="AZ23" s="139">
        <f t="shared" si="3"/>
        <v>0</v>
      </c>
      <c r="BA23" s="139">
        <v>0</v>
      </c>
      <c r="BB23" s="139">
        <f t="shared" si="0"/>
        <v>0</v>
      </c>
    </row>
    <row r="24" spans="1:69" x14ac:dyDescent="0.2">
      <c r="A24" s="5"/>
      <c r="B24" s="5"/>
      <c r="C24" s="5"/>
      <c r="D24" s="5"/>
      <c r="E24" s="3"/>
      <c r="F24" s="4"/>
      <c r="P24" s="158" t="s">
        <v>206</v>
      </c>
      <c r="Q24" s="176"/>
      <c r="R24" s="176"/>
      <c r="S24" s="176"/>
      <c r="T24" s="176"/>
      <c r="U24" s="176"/>
      <c r="V24" s="179"/>
      <c r="W24" s="176"/>
      <c r="X24" s="176"/>
      <c r="Y24" s="176"/>
      <c r="Z24" s="176"/>
      <c r="AA24" s="176"/>
      <c r="AB24" s="179"/>
      <c r="AC24" s="176"/>
      <c r="AD24" s="176"/>
      <c r="AE24" s="176"/>
      <c r="AF24" s="176"/>
      <c r="AG24" s="176"/>
      <c r="AH24" s="176"/>
      <c r="AI24" s="176"/>
      <c r="AJ24" s="179"/>
      <c r="AK24" s="176"/>
      <c r="AL24" s="176"/>
      <c r="AM24" s="179"/>
      <c r="AN24" s="176"/>
      <c r="AO24" s="176"/>
      <c r="AP24" s="176"/>
      <c r="AQ24" s="179"/>
      <c r="AR24" s="176"/>
      <c r="AS24" s="176"/>
      <c r="AT24" s="179"/>
      <c r="AU24" s="179"/>
      <c r="AV24" s="140">
        <v>0</v>
      </c>
      <c r="AW24" s="139">
        <v>0</v>
      </c>
      <c r="AX24" s="139">
        <v>0</v>
      </c>
      <c r="AY24" s="139">
        <v>0</v>
      </c>
      <c r="AZ24" s="139">
        <f t="shared" si="3"/>
        <v>0</v>
      </c>
      <c r="BA24" s="139">
        <v>0</v>
      </c>
      <c r="BB24" s="139">
        <f t="shared" si="0"/>
        <v>0</v>
      </c>
    </row>
    <row r="25" spans="1:69" x14ac:dyDescent="0.2">
      <c r="A25" s="5"/>
      <c r="B25" s="5"/>
      <c r="C25" s="5"/>
      <c r="D25" s="5"/>
      <c r="E25" s="3"/>
      <c r="F25" s="4"/>
      <c r="P25" s="158" t="s">
        <v>207</v>
      </c>
      <c r="Q25" s="176"/>
      <c r="R25" s="176"/>
      <c r="S25" s="176"/>
      <c r="T25" s="176"/>
      <c r="U25" s="176"/>
      <c r="V25" s="179"/>
      <c r="W25" s="176"/>
      <c r="X25" s="176"/>
      <c r="Y25" s="176"/>
      <c r="Z25" s="176"/>
      <c r="AA25" s="176"/>
      <c r="AB25" s="179"/>
      <c r="AC25" s="176"/>
      <c r="AD25" s="176"/>
      <c r="AE25" s="176"/>
      <c r="AF25" s="176"/>
      <c r="AG25" s="176"/>
      <c r="AH25" s="176"/>
      <c r="AI25" s="176"/>
      <c r="AJ25" s="179"/>
      <c r="AK25" s="176"/>
      <c r="AL25" s="176"/>
      <c r="AM25" s="179"/>
      <c r="AN25" s="176"/>
      <c r="AO25" s="176"/>
      <c r="AP25" s="176"/>
      <c r="AQ25" s="179"/>
      <c r="AR25" s="176"/>
      <c r="AS25" s="176"/>
      <c r="AT25" s="179"/>
      <c r="AU25" s="179"/>
      <c r="AV25" s="140">
        <v>0</v>
      </c>
      <c r="AW25" s="139">
        <v>0</v>
      </c>
      <c r="AX25" s="139">
        <v>0</v>
      </c>
      <c r="AY25" s="139">
        <v>0</v>
      </c>
      <c r="AZ25" s="139">
        <f t="shared" si="3"/>
        <v>0</v>
      </c>
      <c r="BA25" s="139">
        <v>0</v>
      </c>
      <c r="BB25" s="139">
        <f t="shared" si="0"/>
        <v>0</v>
      </c>
    </row>
    <row r="26" spans="1:69" x14ac:dyDescent="0.2">
      <c r="A26" s="5"/>
      <c r="B26" s="5"/>
      <c r="C26" s="5"/>
      <c r="D26" s="5"/>
      <c r="E26" s="3"/>
      <c r="F26" s="4"/>
      <c r="P26" s="158" t="s">
        <v>208</v>
      </c>
      <c r="Q26" s="176"/>
      <c r="R26" s="176"/>
      <c r="S26" s="176"/>
      <c r="T26" s="176"/>
      <c r="U26" s="176"/>
      <c r="V26" s="179"/>
      <c r="W26" s="176"/>
      <c r="X26" s="176"/>
      <c r="Y26" s="176"/>
      <c r="Z26" s="176"/>
      <c r="AA26" s="176"/>
      <c r="AB26" s="179"/>
      <c r="AC26" s="176"/>
      <c r="AD26" s="176"/>
      <c r="AE26" s="176"/>
      <c r="AF26" s="176"/>
      <c r="AG26" s="176"/>
      <c r="AH26" s="176"/>
      <c r="AI26" s="176"/>
      <c r="AJ26" s="179"/>
      <c r="AK26" s="176"/>
      <c r="AL26" s="176"/>
      <c r="AM26" s="179"/>
      <c r="AN26" s="176"/>
      <c r="AO26" s="176"/>
      <c r="AP26" s="176"/>
      <c r="AQ26" s="179"/>
      <c r="AR26" s="176"/>
      <c r="AS26" s="176"/>
      <c r="AT26" s="179"/>
      <c r="AU26" s="179"/>
      <c r="AV26" s="140">
        <v>0</v>
      </c>
      <c r="AW26" s="139">
        <v>0</v>
      </c>
      <c r="AX26" s="139">
        <v>0</v>
      </c>
      <c r="AY26" s="139">
        <v>0</v>
      </c>
      <c r="AZ26" s="139">
        <f t="shared" si="3"/>
        <v>0</v>
      </c>
      <c r="BA26" s="139">
        <v>0</v>
      </c>
      <c r="BB26" s="139">
        <f t="shared" si="0"/>
        <v>0</v>
      </c>
    </row>
    <row r="27" spans="1:69" x14ac:dyDescent="0.2">
      <c r="A27" s="5"/>
      <c r="B27" s="5"/>
      <c r="C27" s="5"/>
      <c r="D27" s="2"/>
      <c r="E27" s="3"/>
      <c r="F27" s="4"/>
      <c r="P27" s="158" t="s">
        <v>209</v>
      </c>
      <c r="Q27" s="176"/>
      <c r="R27" s="176"/>
      <c r="S27" s="176"/>
      <c r="T27" s="176"/>
      <c r="U27" s="176"/>
      <c r="V27" s="179"/>
      <c r="W27" s="176"/>
      <c r="X27" s="176"/>
      <c r="Y27" s="176"/>
      <c r="Z27" s="176"/>
      <c r="AA27" s="176"/>
      <c r="AB27" s="179"/>
      <c r="AC27" s="176"/>
      <c r="AD27" s="176"/>
      <c r="AE27" s="176"/>
      <c r="AF27" s="176"/>
      <c r="AG27" s="176"/>
      <c r="AH27" s="176"/>
      <c r="AI27" s="176"/>
      <c r="AJ27" s="179"/>
      <c r="AK27" s="176"/>
      <c r="AL27" s="176"/>
      <c r="AM27" s="179"/>
      <c r="AN27" s="176"/>
      <c r="AO27" s="176"/>
      <c r="AP27" s="176"/>
      <c r="AQ27" s="179"/>
      <c r="AR27" s="176"/>
      <c r="AS27" s="176"/>
      <c r="AT27" s="179"/>
      <c r="AU27" s="179"/>
      <c r="AV27" s="140">
        <v>0</v>
      </c>
      <c r="AW27" s="139">
        <v>0</v>
      </c>
      <c r="AX27" s="139">
        <v>0</v>
      </c>
      <c r="AY27" s="139">
        <v>0</v>
      </c>
      <c r="AZ27" s="139">
        <f t="shared" si="3"/>
        <v>0</v>
      </c>
      <c r="BA27" s="139">
        <v>0</v>
      </c>
      <c r="BB27" s="139">
        <f t="shared" si="0"/>
        <v>0</v>
      </c>
    </row>
    <row r="28" spans="1:69" x14ac:dyDescent="0.2">
      <c r="A28" s="5"/>
      <c r="B28" s="5"/>
      <c r="C28" s="5"/>
      <c r="D28" s="2"/>
      <c r="E28" s="3"/>
      <c r="F28" s="4"/>
      <c r="P28" s="158" t="s">
        <v>210</v>
      </c>
      <c r="Q28" s="176"/>
      <c r="R28" s="176"/>
      <c r="S28" s="176"/>
      <c r="T28" s="176"/>
      <c r="U28" s="176"/>
      <c r="V28" s="179"/>
      <c r="W28" s="176"/>
      <c r="X28" s="176"/>
      <c r="Y28" s="176"/>
      <c r="Z28" s="176"/>
      <c r="AA28" s="176"/>
      <c r="AB28" s="179"/>
      <c r="AC28" s="176"/>
      <c r="AD28" s="176"/>
      <c r="AE28" s="176"/>
      <c r="AF28" s="176"/>
      <c r="AG28" s="176"/>
      <c r="AH28" s="176"/>
      <c r="AI28" s="176"/>
      <c r="AJ28" s="179"/>
      <c r="AK28" s="176"/>
      <c r="AL28" s="176"/>
      <c r="AM28" s="179"/>
      <c r="AN28" s="176"/>
      <c r="AO28" s="176"/>
      <c r="AP28" s="176"/>
      <c r="AQ28" s="179"/>
      <c r="AR28" s="176"/>
      <c r="AS28" s="176"/>
      <c r="AT28" s="179"/>
      <c r="AU28" s="179"/>
      <c r="AV28" s="140">
        <v>0</v>
      </c>
      <c r="AW28" s="139">
        <v>0</v>
      </c>
      <c r="AX28" s="139">
        <v>0</v>
      </c>
      <c r="AY28" s="139">
        <v>0</v>
      </c>
      <c r="AZ28" s="139">
        <f t="shared" si="3"/>
        <v>0</v>
      </c>
      <c r="BA28" s="139">
        <v>0</v>
      </c>
      <c r="BB28" s="139">
        <f t="shared" si="0"/>
        <v>0</v>
      </c>
    </row>
    <row r="29" spans="1:69" x14ac:dyDescent="0.2">
      <c r="A29" s="5"/>
      <c r="B29" s="6"/>
      <c r="C29" s="6"/>
      <c r="D29" s="2"/>
      <c r="E29" s="3"/>
      <c r="F29" s="4"/>
      <c r="P29" s="158" t="s">
        <v>211</v>
      </c>
      <c r="Q29" s="176"/>
      <c r="R29" s="176"/>
      <c r="S29" s="176"/>
      <c r="T29" s="176"/>
      <c r="U29" s="176"/>
      <c r="V29" s="179"/>
      <c r="W29" s="176"/>
      <c r="X29" s="176"/>
      <c r="Y29" s="176"/>
      <c r="Z29" s="176"/>
      <c r="AA29" s="176"/>
      <c r="AB29" s="179"/>
      <c r="AC29" s="176"/>
      <c r="AD29" s="176"/>
      <c r="AE29" s="176"/>
      <c r="AF29" s="176"/>
      <c r="AG29" s="176"/>
      <c r="AH29" s="176"/>
      <c r="AI29" s="176"/>
      <c r="AJ29" s="179"/>
      <c r="AK29" s="176"/>
      <c r="AL29" s="176"/>
      <c r="AM29" s="179"/>
      <c r="AN29" s="176"/>
      <c r="AO29" s="176"/>
      <c r="AP29" s="176"/>
      <c r="AQ29" s="179"/>
      <c r="AR29" s="176"/>
      <c r="AS29" s="176"/>
      <c r="AT29" s="179"/>
      <c r="AU29" s="179"/>
      <c r="AV29" s="140">
        <v>0</v>
      </c>
      <c r="AW29" s="139">
        <v>0</v>
      </c>
      <c r="AX29" s="139">
        <v>0</v>
      </c>
      <c r="AY29" s="139">
        <v>0</v>
      </c>
      <c r="AZ29" s="139">
        <f t="shared" si="3"/>
        <v>0</v>
      </c>
      <c r="BA29" s="139">
        <v>0</v>
      </c>
      <c r="BB29" s="139">
        <f t="shared" si="0"/>
        <v>0</v>
      </c>
    </row>
    <row r="30" spans="1:69" x14ac:dyDescent="0.2">
      <c r="A30" s="5"/>
      <c r="B30" s="6"/>
      <c r="C30" s="6"/>
      <c r="D30" s="2"/>
      <c r="E30" s="3"/>
      <c r="F30" s="4"/>
      <c r="P30" s="158" t="s">
        <v>191</v>
      </c>
      <c r="Q30" s="141">
        <v>1</v>
      </c>
      <c r="R30" s="141">
        <v>1</v>
      </c>
      <c r="S30" s="141">
        <v>1</v>
      </c>
      <c r="T30" s="141">
        <v>1</v>
      </c>
      <c r="U30" s="141">
        <v>1</v>
      </c>
      <c r="V30" s="180">
        <v>1</v>
      </c>
      <c r="W30" s="141">
        <v>1</v>
      </c>
      <c r="X30" s="141">
        <v>1</v>
      </c>
      <c r="Y30" s="141">
        <v>1</v>
      </c>
      <c r="Z30" s="141">
        <v>1</v>
      </c>
      <c r="AA30" s="141">
        <v>1</v>
      </c>
      <c r="AB30" s="180">
        <v>1</v>
      </c>
      <c r="AC30" s="141">
        <v>1</v>
      </c>
      <c r="AD30" s="141">
        <v>1</v>
      </c>
      <c r="AE30" s="141"/>
      <c r="AF30" s="141">
        <v>1</v>
      </c>
      <c r="AG30" s="141">
        <v>1</v>
      </c>
      <c r="AH30" s="141">
        <v>1</v>
      </c>
      <c r="AI30" s="141"/>
      <c r="AJ30" s="180">
        <v>1</v>
      </c>
      <c r="AK30" s="141"/>
      <c r="AL30" s="141"/>
      <c r="AM30" s="180"/>
      <c r="AN30" s="141">
        <v>1</v>
      </c>
      <c r="AO30" s="141"/>
      <c r="AP30" s="141"/>
      <c r="AQ30" s="180">
        <v>1</v>
      </c>
      <c r="AR30" s="141"/>
      <c r="AS30" s="141"/>
      <c r="AT30" s="180"/>
      <c r="AU30" s="180"/>
      <c r="AV30" s="140">
        <v>1</v>
      </c>
      <c r="AW30" s="139">
        <v>0</v>
      </c>
      <c r="AX30" s="139">
        <v>0</v>
      </c>
      <c r="AY30" s="139">
        <v>0</v>
      </c>
      <c r="AZ30" s="139">
        <f t="shared" si="3"/>
        <v>4</v>
      </c>
      <c r="BA30" s="142">
        <v>1</v>
      </c>
      <c r="BB30" s="139">
        <f t="shared" si="0"/>
        <v>12</v>
      </c>
    </row>
    <row r="31" spans="1:69" x14ac:dyDescent="0.2">
      <c r="A31" s="5"/>
      <c r="B31" s="6"/>
      <c r="C31" s="6"/>
      <c r="D31" s="2"/>
      <c r="E31" s="3"/>
      <c r="F31" s="4"/>
      <c r="P31" s="158" t="s">
        <v>212</v>
      </c>
      <c r="Q31" s="176"/>
      <c r="R31" s="176"/>
      <c r="S31" s="176"/>
      <c r="T31" s="176"/>
      <c r="U31" s="176"/>
      <c r="V31" s="179"/>
      <c r="W31" s="176"/>
      <c r="X31" s="176"/>
      <c r="Y31" s="176"/>
      <c r="Z31" s="176"/>
      <c r="AA31" s="176"/>
      <c r="AB31" s="179"/>
      <c r="AC31" s="176"/>
      <c r="AD31" s="176"/>
      <c r="AE31" s="176"/>
      <c r="AF31" s="176"/>
      <c r="AG31" s="176"/>
      <c r="AH31" s="176"/>
      <c r="AI31" s="176"/>
      <c r="AJ31" s="179"/>
      <c r="AK31" s="176"/>
      <c r="AL31" s="176"/>
      <c r="AM31" s="179"/>
      <c r="AN31" s="176"/>
      <c r="AO31" s="176"/>
      <c r="AP31" s="176"/>
      <c r="AQ31" s="179"/>
      <c r="AR31" s="176"/>
      <c r="AS31" s="176"/>
      <c r="AT31" s="179"/>
      <c r="AU31" s="179"/>
      <c r="AV31" s="140">
        <v>0</v>
      </c>
      <c r="AW31" s="139">
        <v>0</v>
      </c>
      <c r="AX31" s="139">
        <v>0</v>
      </c>
      <c r="AY31" s="139">
        <v>0</v>
      </c>
      <c r="AZ31" s="139">
        <f t="shared" si="3"/>
        <v>0</v>
      </c>
      <c r="BA31" s="139">
        <v>0</v>
      </c>
      <c r="BB31" s="139">
        <f t="shared" si="0"/>
        <v>0</v>
      </c>
    </row>
    <row r="32" spans="1:69" x14ac:dyDescent="0.2">
      <c r="A32" s="5"/>
      <c r="B32" s="6"/>
      <c r="C32" s="6"/>
      <c r="D32" s="2"/>
      <c r="E32" s="3"/>
      <c r="F32" s="4"/>
      <c r="P32" s="158" t="s">
        <v>192</v>
      </c>
      <c r="Q32" s="141">
        <v>1</v>
      </c>
      <c r="R32" s="141">
        <v>1</v>
      </c>
      <c r="S32" s="141">
        <v>1</v>
      </c>
      <c r="T32" s="141">
        <v>1</v>
      </c>
      <c r="U32" s="141">
        <v>1</v>
      </c>
      <c r="V32" s="180">
        <v>1</v>
      </c>
      <c r="W32" s="141">
        <v>1</v>
      </c>
      <c r="X32" s="141">
        <v>1</v>
      </c>
      <c r="Y32" s="141">
        <v>1</v>
      </c>
      <c r="Z32" s="141">
        <v>1</v>
      </c>
      <c r="AA32" s="141">
        <v>1</v>
      </c>
      <c r="AB32" s="180">
        <v>1</v>
      </c>
      <c r="AC32" s="141">
        <v>1</v>
      </c>
      <c r="AD32" s="141">
        <v>1</v>
      </c>
      <c r="AE32" s="141"/>
      <c r="AF32" s="141">
        <v>1</v>
      </c>
      <c r="AG32" s="141">
        <v>1</v>
      </c>
      <c r="AH32" s="141">
        <v>1</v>
      </c>
      <c r="AI32" s="141"/>
      <c r="AJ32" s="180">
        <v>1</v>
      </c>
      <c r="AK32" s="141">
        <v>1</v>
      </c>
      <c r="AL32" s="141">
        <v>1</v>
      </c>
      <c r="AM32" s="180">
        <v>1</v>
      </c>
      <c r="AN32" s="141">
        <v>1</v>
      </c>
      <c r="AO32" s="141">
        <v>1</v>
      </c>
      <c r="AP32" s="141">
        <v>1</v>
      </c>
      <c r="AQ32" s="180">
        <v>1</v>
      </c>
      <c r="AR32" s="141"/>
      <c r="AS32" s="141"/>
      <c r="AT32" s="180"/>
      <c r="AU32" s="180"/>
      <c r="AV32" s="140">
        <v>1</v>
      </c>
      <c r="AW32" s="139">
        <v>0</v>
      </c>
      <c r="AX32" s="139">
        <v>0</v>
      </c>
      <c r="AY32" s="139">
        <v>0</v>
      </c>
      <c r="AZ32" s="139">
        <f t="shared" si="3"/>
        <v>5</v>
      </c>
      <c r="BA32" s="142">
        <v>1</v>
      </c>
      <c r="BB32" s="139">
        <f t="shared" si="0"/>
        <v>15</v>
      </c>
    </row>
    <row r="33" spans="1:54" x14ac:dyDescent="0.2">
      <c r="A33" s="5"/>
      <c r="B33" s="6"/>
      <c r="C33" s="6"/>
      <c r="D33" s="2"/>
      <c r="E33" s="3"/>
      <c r="F33" s="4"/>
      <c r="P33" s="158" t="s">
        <v>213</v>
      </c>
      <c r="Q33" s="176"/>
      <c r="R33" s="176"/>
      <c r="S33" s="176"/>
      <c r="T33" s="176"/>
      <c r="U33" s="176"/>
      <c r="V33" s="179"/>
      <c r="W33" s="176"/>
      <c r="X33" s="176"/>
      <c r="Y33" s="176"/>
      <c r="Z33" s="176"/>
      <c r="AA33" s="176"/>
      <c r="AB33" s="179"/>
      <c r="AC33" s="176"/>
      <c r="AD33" s="176"/>
      <c r="AE33" s="176"/>
      <c r="AF33" s="176"/>
      <c r="AG33" s="176"/>
      <c r="AH33" s="176"/>
      <c r="AI33" s="176"/>
      <c r="AJ33" s="179"/>
      <c r="AK33" s="176"/>
      <c r="AL33" s="176"/>
      <c r="AM33" s="179"/>
      <c r="AN33" s="176"/>
      <c r="AO33" s="176"/>
      <c r="AP33" s="176"/>
      <c r="AQ33" s="179"/>
      <c r="AR33" s="176"/>
      <c r="AS33" s="176"/>
      <c r="AT33" s="179"/>
      <c r="AU33" s="179"/>
      <c r="AV33" s="140">
        <v>0</v>
      </c>
      <c r="AW33" s="139">
        <v>0</v>
      </c>
      <c r="AX33" s="139">
        <v>0</v>
      </c>
      <c r="AY33" s="139">
        <v>0</v>
      </c>
      <c r="AZ33" s="139">
        <f t="shared" si="3"/>
        <v>0</v>
      </c>
      <c r="BA33" s="139">
        <v>0</v>
      </c>
      <c r="BB33" s="139">
        <f t="shared" si="0"/>
        <v>0</v>
      </c>
    </row>
    <row r="34" spans="1:54" x14ac:dyDescent="0.2">
      <c r="A34" s="5"/>
      <c r="B34" s="6"/>
      <c r="C34" s="6"/>
      <c r="D34" s="2"/>
      <c r="E34" s="3"/>
      <c r="F34" s="4"/>
      <c r="P34" s="158" t="s">
        <v>193</v>
      </c>
      <c r="Q34" s="141">
        <v>1</v>
      </c>
      <c r="R34" s="141">
        <v>1</v>
      </c>
      <c r="S34" s="141">
        <v>1</v>
      </c>
      <c r="T34" s="141">
        <v>1</v>
      </c>
      <c r="U34" s="141">
        <v>1</v>
      </c>
      <c r="V34" s="180">
        <v>1</v>
      </c>
      <c r="W34" s="141">
        <v>1</v>
      </c>
      <c r="X34" s="141">
        <v>1</v>
      </c>
      <c r="Y34" s="141">
        <v>1</v>
      </c>
      <c r="Z34" s="141">
        <v>1</v>
      </c>
      <c r="AA34" s="141">
        <v>1</v>
      </c>
      <c r="AB34" s="180">
        <v>1</v>
      </c>
      <c r="AC34" s="141">
        <v>1</v>
      </c>
      <c r="AD34" s="141">
        <v>1</v>
      </c>
      <c r="AE34" s="141">
        <v>1</v>
      </c>
      <c r="AF34" s="141">
        <v>1</v>
      </c>
      <c r="AG34" s="141">
        <v>1</v>
      </c>
      <c r="AH34" s="141">
        <v>1</v>
      </c>
      <c r="AI34" s="141">
        <v>1</v>
      </c>
      <c r="AJ34" s="180">
        <v>1</v>
      </c>
      <c r="AK34" s="141">
        <v>1</v>
      </c>
      <c r="AL34" s="141">
        <v>1</v>
      </c>
      <c r="AM34" s="180">
        <v>1</v>
      </c>
      <c r="AN34" s="141">
        <v>1</v>
      </c>
      <c r="AO34" s="141">
        <v>1</v>
      </c>
      <c r="AP34" s="141">
        <v>1</v>
      </c>
      <c r="AQ34" s="180">
        <v>1</v>
      </c>
      <c r="AR34" s="141"/>
      <c r="AS34" s="141"/>
      <c r="AT34" s="180"/>
      <c r="AU34" s="180"/>
      <c r="AV34" s="140">
        <v>1</v>
      </c>
      <c r="AW34" s="139">
        <v>0</v>
      </c>
      <c r="AX34" s="139">
        <v>0</v>
      </c>
      <c r="AY34" s="139">
        <v>0</v>
      </c>
      <c r="AZ34" s="139">
        <f t="shared" si="3"/>
        <v>5</v>
      </c>
      <c r="BA34" s="142">
        <v>1</v>
      </c>
      <c r="BB34" s="139">
        <f t="shared" si="0"/>
        <v>15</v>
      </c>
    </row>
    <row r="35" spans="1:54" x14ac:dyDescent="0.2">
      <c r="A35" s="5"/>
      <c r="B35" s="6"/>
      <c r="C35" s="6"/>
      <c r="D35" s="2"/>
      <c r="E35" s="3"/>
      <c r="F35" s="4"/>
      <c r="P35" s="158" t="s">
        <v>194</v>
      </c>
      <c r="Q35" s="141">
        <v>1</v>
      </c>
      <c r="R35" s="141">
        <v>1</v>
      </c>
      <c r="S35" s="141">
        <v>1</v>
      </c>
      <c r="T35" s="141">
        <v>1</v>
      </c>
      <c r="U35" s="141">
        <v>1</v>
      </c>
      <c r="V35" s="180">
        <v>1</v>
      </c>
      <c r="W35" s="141">
        <v>1</v>
      </c>
      <c r="X35" s="141">
        <v>1</v>
      </c>
      <c r="Y35" s="141">
        <v>1</v>
      </c>
      <c r="Z35" s="141">
        <v>1</v>
      </c>
      <c r="AA35" s="141">
        <v>1</v>
      </c>
      <c r="AB35" s="180">
        <v>1</v>
      </c>
      <c r="AC35" s="141">
        <v>1</v>
      </c>
      <c r="AD35" s="141">
        <v>1</v>
      </c>
      <c r="AE35" s="141">
        <v>1</v>
      </c>
      <c r="AF35" s="141">
        <v>1</v>
      </c>
      <c r="AG35" s="141">
        <v>1</v>
      </c>
      <c r="AH35" s="141">
        <v>1</v>
      </c>
      <c r="AI35" s="141">
        <v>1</v>
      </c>
      <c r="AJ35" s="180">
        <v>1</v>
      </c>
      <c r="AK35" s="141">
        <v>1</v>
      </c>
      <c r="AL35" s="141">
        <v>1</v>
      </c>
      <c r="AM35" s="180">
        <v>1</v>
      </c>
      <c r="AN35" s="141">
        <v>1</v>
      </c>
      <c r="AO35" s="141">
        <v>1</v>
      </c>
      <c r="AP35" s="141">
        <v>1</v>
      </c>
      <c r="AQ35" s="180">
        <v>1</v>
      </c>
      <c r="AR35" s="141"/>
      <c r="AS35" s="141"/>
      <c r="AT35" s="180"/>
      <c r="AU35" s="180"/>
      <c r="AV35" s="140">
        <v>1</v>
      </c>
      <c r="AW35" s="139">
        <v>0</v>
      </c>
      <c r="AX35" s="139">
        <v>0</v>
      </c>
      <c r="AY35" s="139">
        <v>0</v>
      </c>
      <c r="AZ35" s="139">
        <f t="shared" si="3"/>
        <v>5</v>
      </c>
      <c r="BA35" s="142">
        <v>2</v>
      </c>
      <c r="BB35" s="139">
        <f t="shared" si="0"/>
        <v>15</v>
      </c>
    </row>
    <row r="36" spans="1:54" x14ac:dyDescent="0.2">
      <c r="A36" s="5"/>
      <c r="B36" s="6"/>
      <c r="C36" s="6"/>
      <c r="D36" s="2"/>
      <c r="E36" s="3"/>
      <c r="F36" s="4"/>
      <c r="P36" s="158" t="s">
        <v>195</v>
      </c>
      <c r="Q36" s="141">
        <v>1</v>
      </c>
      <c r="R36" s="141">
        <v>1</v>
      </c>
      <c r="S36" s="141">
        <v>1</v>
      </c>
      <c r="T36" s="141">
        <v>1</v>
      </c>
      <c r="U36" s="141">
        <v>1</v>
      </c>
      <c r="V36" s="180">
        <v>1</v>
      </c>
      <c r="W36" s="141">
        <v>1</v>
      </c>
      <c r="X36" s="141">
        <v>1</v>
      </c>
      <c r="Y36" s="141">
        <v>1</v>
      </c>
      <c r="Z36" s="141">
        <v>1</v>
      </c>
      <c r="AA36" s="141">
        <v>1</v>
      </c>
      <c r="AB36" s="180">
        <v>1</v>
      </c>
      <c r="AC36" s="141">
        <v>1</v>
      </c>
      <c r="AD36" s="141">
        <v>1</v>
      </c>
      <c r="AE36" s="141">
        <v>1</v>
      </c>
      <c r="AF36" s="141">
        <v>1</v>
      </c>
      <c r="AG36" s="141">
        <v>1</v>
      </c>
      <c r="AH36" s="141">
        <v>1</v>
      </c>
      <c r="AI36" s="141">
        <v>1</v>
      </c>
      <c r="AJ36" s="180">
        <v>1</v>
      </c>
      <c r="AK36" s="141">
        <v>1</v>
      </c>
      <c r="AL36" s="141">
        <v>1</v>
      </c>
      <c r="AM36" s="180">
        <v>1</v>
      </c>
      <c r="AN36" s="141">
        <v>1</v>
      </c>
      <c r="AO36" s="141">
        <v>1</v>
      </c>
      <c r="AP36" s="141">
        <v>1</v>
      </c>
      <c r="AQ36" s="180">
        <v>1</v>
      </c>
      <c r="AR36" s="141"/>
      <c r="AS36" s="141"/>
      <c r="AT36" s="180"/>
      <c r="AU36" s="180"/>
      <c r="AV36" s="139">
        <v>1</v>
      </c>
      <c r="AW36" s="139">
        <v>0</v>
      </c>
      <c r="AX36" s="139">
        <v>0</v>
      </c>
      <c r="AY36" s="139">
        <v>0</v>
      </c>
      <c r="AZ36" s="139">
        <f t="shared" si="3"/>
        <v>5</v>
      </c>
      <c r="BA36" s="142">
        <v>2</v>
      </c>
      <c r="BB36" s="139">
        <f t="shared" si="0"/>
        <v>15</v>
      </c>
    </row>
    <row r="37" spans="1:54" x14ac:dyDescent="0.2">
      <c r="A37" s="5"/>
      <c r="B37" s="6"/>
      <c r="C37" s="6"/>
      <c r="D37" s="2"/>
      <c r="E37" s="3"/>
      <c r="F37" s="4"/>
      <c r="P37" s="158" t="s">
        <v>196</v>
      </c>
      <c r="Q37" s="141">
        <v>1</v>
      </c>
      <c r="R37" s="141">
        <v>1</v>
      </c>
      <c r="S37" s="141">
        <v>1</v>
      </c>
      <c r="T37" s="141">
        <v>1</v>
      </c>
      <c r="U37" s="141">
        <v>1</v>
      </c>
      <c r="V37" s="180">
        <v>1</v>
      </c>
      <c r="W37" s="141">
        <v>1</v>
      </c>
      <c r="X37" s="141">
        <v>1</v>
      </c>
      <c r="Y37" s="141">
        <v>1</v>
      </c>
      <c r="Z37" s="141">
        <v>1</v>
      </c>
      <c r="AA37" s="141">
        <v>1</v>
      </c>
      <c r="AB37" s="180">
        <v>1</v>
      </c>
      <c r="AC37" s="141">
        <v>1</v>
      </c>
      <c r="AD37" s="141">
        <v>1</v>
      </c>
      <c r="AE37" s="141">
        <v>1</v>
      </c>
      <c r="AF37" s="141">
        <v>1</v>
      </c>
      <c r="AG37" s="141">
        <v>1</v>
      </c>
      <c r="AH37" s="141">
        <v>1</v>
      </c>
      <c r="AI37" s="141">
        <v>1</v>
      </c>
      <c r="AJ37" s="180">
        <v>1</v>
      </c>
      <c r="AK37" s="141">
        <v>1</v>
      </c>
      <c r="AL37" s="141">
        <v>1</v>
      </c>
      <c r="AM37" s="180">
        <v>1</v>
      </c>
      <c r="AN37" s="141">
        <v>1</v>
      </c>
      <c r="AO37" s="141">
        <v>1</v>
      </c>
      <c r="AP37" s="141">
        <v>1</v>
      </c>
      <c r="AQ37" s="180">
        <v>1</v>
      </c>
      <c r="AR37" s="141"/>
      <c r="AS37" s="141"/>
      <c r="AT37" s="180"/>
      <c r="AU37" s="180">
        <v>1</v>
      </c>
      <c r="AV37" s="139">
        <v>1</v>
      </c>
      <c r="AW37" s="139">
        <v>1</v>
      </c>
      <c r="AX37" s="139">
        <v>1</v>
      </c>
      <c r="AY37" s="139">
        <v>1</v>
      </c>
      <c r="AZ37" s="139">
        <f t="shared" si="3"/>
        <v>6</v>
      </c>
      <c r="BA37" s="142">
        <v>3</v>
      </c>
      <c r="BB37" s="139">
        <f t="shared" si="0"/>
        <v>18</v>
      </c>
    </row>
    <row r="38" spans="1:54" x14ac:dyDescent="0.2">
      <c r="A38" s="5"/>
      <c r="B38" s="6"/>
      <c r="C38" s="6"/>
      <c r="D38" s="2"/>
      <c r="E38" s="3"/>
      <c r="F38" s="4"/>
      <c r="P38" s="158" t="s">
        <v>197</v>
      </c>
      <c r="Q38" s="141">
        <v>1</v>
      </c>
      <c r="R38" s="141">
        <v>1</v>
      </c>
      <c r="S38" s="141">
        <v>1</v>
      </c>
      <c r="T38" s="141">
        <v>1</v>
      </c>
      <c r="U38" s="141">
        <v>1</v>
      </c>
      <c r="V38" s="180">
        <v>1</v>
      </c>
      <c r="W38" s="141">
        <v>1</v>
      </c>
      <c r="X38" s="141">
        <v>1</v>
      </c>
      <c r="Y38" s="141">
        <v>1</v>
      </c>
      <c r="Z38" s="141">
        <v>1</v>
      </c>
      <c r="AA38" s="141">
        <v>1</v>
      </c>
      <c r="AB38" s="180">
        <v>1</v>
      </c>
      <c r="AC38" s="141">
        <v>1</v>
      </c>
      <c r="AD38" s="141">
        <v>1</v>
      </c>
      <c r="AE38" s="141">
        <v>1</v>
      </c>
      <c r="AF38" s="141">
        <v>1</v>
      </c>
      <c r="AG38" s="141">
        <v>1</v>
      </c>
      <c r="AH38" s="141">
        <v>1</v>
      </c>
      <c r="AI38" s="141">
        <v>1</v>
      </c>
      <c r="AJ38" s="180">
        <v>1</v>
      </c>
      <c r="AK38" s="141">
        <v>1</v>
      </c>
      <c r="AL38" s="141">
        <v>1</v>
      </c>
      <c r="AM38" s="180">
        <v>1</v>
      </c>
      <c r="AN38" s="141">
        <v>1</v>
      </c>
      <c r="AO38" s="141">
        <v>1</v>
      </c>
      <c r="AP38" s="141">
        <v>1</v>
      </c>
      <c r="AQ38" s="180">
        <v>1</v>
      </c>
      <c r="AR38" s="141"/>
      <c r="AS38" s="141">
        <v>1</v>
      </c>
      <c r="AT38" s="180">
        <v>1</v>
      </c>
      <c r="AU38" s="180">
        <v>1</v>
      </c>
      <c r="AV38" s="139">
        <v>1</v>
      </c>
      <c r="AW38" s="139">
        <v>1</v>
      </c>
      <c r="AX38" s="139">
        <v>1</v>
      </c>
      <c r="AY38" s="139">
        <v>0</v>
      </c>
      <c r="AZ38" s="139">
        <f t="shared" si="3"/>
        <v>7</v>
      </c>
      <c r="BA38" s="142">
        <v>3</v>
      </c>
      <c r="BB38" s="139">
        <f t="shared" si="0"/>
        <v>21</v>
      </c>
    </row>
    <row r="39" spans="1:54" x14ac:dyDescent="0.2">
      <c r="A39" s="5"/>
      <c r="B39" s="5"/>
      <c r="C39" s="5"/>
      <c r="D39" s="2"/>
      <c r="E39" s="3"/>
      <c r="F39" s="4"/>
      <c r="P39" s="158" t="s">
        <v>198</v>
      </c>
      <c r="Q39" s="141">
        <v>1</v>
      </c>
      <c r="R39" s="141">
        <v>1</v>
      </c>
      <c r="S39" s="141">
        <v>1</v>
      </c>
      <c r="T39" s="141">
        <v>1</v>
      </c>
      <c r="U39" s="141">
        <v>1</v>
      </c>
      <c r="V39" s="180">
        <v>1</v>
      </c>
      <c r="W39" s="141">
        <v>1</v>
      </c>
      <c r="X39" s="141">
        <v>1</v>
      </c>
      <c r="Y39" s="141">
        <v>1</v>
      </c>
      <c r="Z39" s="141">
        <v>1</v>
      </c>
      <c r="AA39" s="141">
        <v>1</v>
      </c>
      <c r="AB39" s="180">
        <v>1</v>
      </c>
      <c r="AC39" s="141">
        <v>1</v>
      </c>
      <c r="AD39" s="141">
        <v>1</v>
      </c>
      <c r="AE39" s="141">
        <v>1</v>
      </c>
      <c r="AF39" s="141">
        <v>1</v>
      </c>
      <c r="AG39" s="141">
        <v>1</v>
      </c>
      <c r="AH39" s="141">
        <v>1</v>
      </c>
      <c r="AI39" s="141">
        <v>1</v>
      </c>
      <c r="AJ39" s="180">
        <v>1</v>
      </c>
      <c r="AK39" s="141">
        <v>1</v>
      </c>
      <c r="AL39" s="141">
        <v>1</v>
      </c>
      <c r="AM39" s="180">
        <v>1</v>
      </c>
      <c r="AN39" s="141">
        <v>1</v>
      </c>
      <c r="AO39" s="141">
        <v>1</v>
      </c>
      <c r="AP39" s="141">
        <v>1</v>
      </c>
      <c r="AQ39" s="180">
        <v>1</v>
      </c>
      <c r="AR39" s="141"/>
      <c r="AS39" s="141">
        <v>1</v>
      </c>
      <c r="AT39" s="180">
        <v>1</v>
      </c>
      <c r="AU39" s="180">
        <v>1</v>
      </c>
      <c r="AV39" s="139">
        <v>1</v>
      </c>
      <c r="AW39" s="139">
        <v>1</v>
      </c>
      <c r="AX39" s="139">
        <v>1</v>
      </c>
      <c r="AY39" s="139">
        <v>0</v>
      </c>
      <c r="AZ39" s="139">
        <f t="shared" si="3"/>
        <v>7</v>
      </c>
      <c r="BA39" s="142">
        <v>3</v>
      </c>
      <c r="BB39" s="139">
        <f t="shared" si="0"/>
        <v>21</v>
      </c>
    </row>
    <row r="40" spans="1:54" x14ac:dyDescent="0.2">
      <c r="A40" s="5"/>
      <c r="B40" s="5"/>
      <c r="C40" s="5"/>
      <c r="D40" s="2"/>
      <c r="E40" s="3"/>
      <c r="F40" s="4"/>
      <c r="P40" s="158" t="s">
        <v>199</v>
      </c>
      <c r="Q40" s="141">
        <v>1</v>
      </c>
      <c r="R40" s="141">
        <v>1</v>
      </c>
      <c r="S40" s="141">
        <v>1</v>
      </c>
      <c r="T40" s="141">
        <v>1</v>
      </c>
      <c r="U40" s="141">
        <v>1</v>
      </c>
      <c r="V40" s="180">
        <v>1</v>
      </c>
      <c r="W40" s="141">
        <v>1</v>
      </c>
      <c r="X40" s="141">
        <v>1</v>
      </c>
      <c r="Y40" s="141">
        <v>1</v>
      </c>
      <c r="Z40" s="141">
        <v>1</v>
      </c>
      <c r="AA40" s="141">
        <v>1</v>
      </c>
      <c r="AB40" s="180">
        <v>1</v>
      </c>
      <c r="AC40" s="141">
        <v>1</v>
      </c>
      <c r="AD40" s="141">
        <v>1</v>
      </c>
      <c r="AE40" s="141">
        <v>1</v>
      </c>
      <c r="AF40" s="141">
        <v>1</v>
      </c>
      <c r="AG40" s="141">
        <v>1</v>
      </c>
      <c r="AH40" s="141">
        <v>1</v>
      </c>
      <c r="AI40" s="141">
        <v>1</v>
      </c>
      <c r="AJ40" s="180">
        <v>1</v>
      </c>
      <c r="AK40" s="141">
        <v>1</v>
      </c>
      <c r="AL40" s="141">
        <v>1</v>
      </c>
      <c r="AM40" s="180">
        <v>1</v>
      </c>
      <c r="AN40" s="141">
        <v>1</v>
      </c>
      <c r="AO40" s="141">
        <v>1</v>
      </c>
      <c r="AP40" s="141">
        <v>1</v>
      </c>
      <c r="AQ40" s="180">
        <v>1</v>
      </c>
      <c r="AR40" s="141"/>
      <c r="AS40" s="141">
        <v>1</v>
      </c>
      <c r="AT40" s="180">
        <v>1</v>
      </c>
      <c r="AU40" s="180">
        <v>1</v>
      </c>
      <c r="AV40" s="139">
        <v>1</v>
      </c>
      <c r="AW40" s="139">
        <v>1</v>
      </c>
      <c r="AX40" s="139">
        <v>1</v>
      </c>
      <c r="AY40" s="139">
        <v>0</v>
      </c>
      <c r="AZ40" s="139">
        <f t="shared" si="3"/>
        <v>7</v>
      </c>
      <c r="BA40" s="142">
        <v>3</v>
      </c>
      <c r="BB40" s="139">
        <f t="shared" si="0"/>
        <v>21</v>
      </c>
    </row>
    <row r="41" spans="1:54" ht="13.5" thickBot="1" x14ac:dyDescent="0.25">
      <c r="A41" s="5"/>
      <c r="B41" s="5"/>
      <c r="C41" s="5"/>
      <c r="D41" s="5"/>
      <c r="E41" s="3"/>
      <c r="F41" s="4"/>
      <c r="P41" s="159" t="s">
        <v>200</v>
      </c>
      <c r="Q41" s="160">
        <v>1</v>
      </c>
      <c r="R41" s="160">
        <v>1</v>
      </c>
      <c r="S41" s="160">
        <v>1</v>
      </c>
      <c r="T41" s="160">
        <v>1</v>
      </c>
      <c r="U41" s="160">
        <v>1</v>
      </c>
      <c r="V41" s="181">
        <v>1</v>
      </c>
      <c r="W41" s="160">
        <v>1</v>
      </c>
      <c r="X41" s="160">
        <v>1</v>
      </c>
      <c r="Y41" s="160">
        <v>1</v>
      </c>
      <c r="Z41" s="160">
        <v>1</v>
      </c>
      <c r="AA41" s="160">
        <v>1</v>
      </c>
      <c r="AB41" s="181">
        <v>1</v>
      </c>
      <c r="AC41" s="160">
        <v>1</v>
      </c>
      <c r="AD41" s="160">
        <v>1</v>
      </c>
      <c r="AE41" s="160">
        <v>1</v>
      </c>
      <c r="AF41" s="160">
        <v>1</v>
      </c>
      <c r="AG41" s="160">
        <v>1</v>
      </c>
      <c r="AH41" s="160">
        <v>1</v>
      </c>
      <c r="AI41" s="160">
        <v>1</v>
      </c>
      <c r="AJ41" s="181">
        <v>1</v>
      </c>
      <c r="AK41" s="160">
        <v>1</v>
      </c>
      <c r="AL41" s="160">
        <v>1</v>
      </c>
      <c r="AM41" s="181">
        <v>1</v>
      </c>
      <c r="AN41" s="160">
        <v>1</v>
      </c>
      <c r="AO41" s="160">
        <v>1</v>
      </c>
      <c r="AP41" s="160">
        <v>1</v>
      </c>
      <c r="AQ41" s="181">
        <v>1</v>
      </c>
      <c r="AR41" s="160"/>
      <c r="AS41" s="160">
        <v>1</v>
      </c>
      <c r="AT41" s="181">
        <v>1</v>
      </c>
      <c r="AU41" s="181">
        <v>1</v>
      </c>
      <c r="AV41" s="161">
        <v>1</v>
      </c>
      <c r="AW41" s="161">
        <v>1</v>
      </c>
      <c r="AX41" s="161">
        <v>1</v>
      </c>
      <c r="AY41" s="161">
        <v>0</v>
      </c>
      <c r="AZ41" s="139">
        <f t="shared" si="3"/>
        <v>7</v>
      </c>
      <c r="BA41" s="162">
        <v>3</v>
      </c>
      <c r="BB41" s="139">
        <f t="shared" si="0"/>
        <v>21</v>
      </c>
    </row>
    <row r="42" spans="1:54" ht="13.5" thickTop="1" x14ac:dyDescent="0.2">
      <c r="A42" s="5"/>
      <c r="B42" s="5"/>
      <c r="C42" s="5"/>
      <c r="D42" s="5"/>
      <c r="E42" s="3"/>
      <c r="F42" s="4"/>
    </row>
    <row r="43" spans="1:54" x14ac:dyDescent="0.2">
      <c r="A43" s="5"/>
      <c r="B43" s="5"/>
      <c r="C43" s="5"/>
      <c r="D43" s="5"/>
      <c r="E43" s="3"/>
      <c r="F43" s="4"/>
      <c r="AX43" s="82"/>
    </row>
    <row r="44" spans="1:54" x14ac:dyDescent="0.2">
      <c r="A44" s="5"/>
      <c r="B44" s="5"/>
      <c r="C44" s="5"/>
      <c r="D44" s="5"/>
      <c r="E44" s="3"/>
      <c r="F44" s="4"/>
      <c r="AX44" s="82"/>
    </row>
    <row r="45" spans="1:54" x14ac:dyDescent="0.2">
      <c r="AX45" s="82"/>
    </row>
    <row r="46" spans="1:54" x14ac:dyDescent="0.2">
      <c r="AX46" s="82"/>
    </row>
  </sheetData>
  <sheetProtection sheet="1" objects="1" scenarios="1"/>
  <mergeCells count="1">
    <mergeCell ref="F21:M21"/>
  </mergeCells>
  <phoneticPr fontId="3" type="noConversion"/>
  <pageMargins left="0.78740157499999996" right="0.78740157499999996" top="0.984251969" bottom="0.984251969" header="0.4921259845" footer="0.4921259845"/>
  <pageSetup paperSize="9"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sheetViews>
  <sheetFormatPr baseColWidth="10" defaultRowHeight="12.75" x14ac:dyDescent="0.2"/>
  <cols>
    <col min="1" max="1" width="12.7109375" bestFit="1" customWidth="1"/>
    <col min="2" max="2" width="12.7109375" customWidth="1"/>
    <col min="19" max="19" width="17.28515625" customWidth="1"/>
    <col min="20" max="20" width="9.5703125" customWidth="1"/>
    <col min="21" max="21" width="7.85546875" bestFit="1" customWidth="1"/>
    <col min="22" max="22" width="3.140625" customWidth="1"/>
    <col min="23" max="23" width="7.85546875" bestFit="1" customWidth="1"/>
    <col min="24" max="24" width="3.140625" customWidth="1"/>
    <col min="25" max="25" width="7.85546875" bestFit="1" customWidth="1"/>
  </cols>
  <sheetData>
    <row r="1" spans="1:27" x14ac:dyDescent="0.2">
      <c r="A1" t="s">
        <v>79</v>
      </c>
      <c r="B1" s="82"/>
      <c r="C1" t="s">
        <v>81</v>
      </c>
      <c r="D1" t="s">
        <v>91</v>
      </c>
      <c r="S1">
        <v>15</v>
      </c>
    </row>
    <row r="2" spans="1:27" x14ac:dyDescent="0.2">
      <c r="A2">
        <v>15</v>
      </c>
      <c r="C2">
        <v>14</v>
      </c>
      <c r="D2">
        <v>5</v>
      </c>
      <c r="S2">
        <v>40</v>
      </c>
    </row>
    <row r="3" spans="1:27" ht="63.75" x14ac:dyDescent="0.2">
      <c r="A3" s="182" t="s">
        <v>78</v>
      </c>
      <c r="B3" s="182" t="s">
        <v>82</v>
      </c>
      <c r="C3" s="182" t="s">
        <v>80</v>
      </c>
      <c r="D3" s="182" t="s">
        <v>92</v>
      </c>
      <c r="E3" s="182" t="s">
        <v>90</v>
      </c>
      <c r="F3" s="184" t="s">
        <v>214</v>
      </c>
      <c r="G3" s="182" t="s">
        <v>83</v>
      </c>
      <c r="H3" s="182" t="s">
        <v>84</v>
      </c>
      <c r="I3" s="182" t="s">
        <v>85</v>
      </c>
      <c r="J3" s="182" t="s">
        <v>88</v>
      </c>
      <c r="K3" s="182" t="s">
        <v>89</v>
      </c>
      <c r="L3" s="182" t="s">
        <v>104</v>
      </c>
      <c r="M3" s="182" t="s">
        <v>105</v>
      </c>
      <c r="N3" s="182" t="s">
        <v>103</v>
      </c>
      <c r="O3" s="185" t="s">
        <v>112</v>
      </c>
      <c r="P3" s="185" t="s">
        <v>110</v>
      </c>
      <c r="Q3" s="183" t="s">
        <v>113</v>
      </c>
      <c r="R3" s="183" t="s">
        <v>134</v>
      </c>
      <c r="S3" s="183" t="s">
        <v>110</v>
      </c>
      <c r="T3" s="183" t="s">
        <v>174</v>
      </c>
      <c r="V3" s="95"/>
      <c r="X3" s="95"/>
      <c r="Z3" s="9" t="s">
        <v>138</v>
      </c>
      <c r="AA3" t="s">
        <v>111</v>
      </c>
    </row>
    <row r="4" spans="1:27" x14ac:dyDescent="0.2">
      <c r="A4" s="7" t="b">
        <f ca="1">AND(Prüfungsliste!D4&lt;&gt;"",YEARFRAC(Prüfungsliste!D4,PTag)&lt;=Kinderprüfungsgrenze)</f>
        <v>0</v>
      </c>
      <c r="B4" s="8" t="str">
        <f>IF(Prüfungsliste!$F4&lt;&gt;"",VLOOKUP(Prüfungsliste!$F4,nstGrad,IF(A4,3,2),FALSE),"")</f>
        <v/>
      </c>
      <c r="C4" t="b">
        <f>IF(Prüfungsliste!G4&lt;&gt;"",OR(VLOOKUP(Prüfungsliste!G4,nst,3,FALSE)="",VLOOKUP(Prüfungsliste!G4,nst,3,FALSE)&gt;=DATE(YEAR(Prüfungsliste!D4),MONTH(Prüfungsliste!D4),DAY(Prüfungsliste!D4)-C$2)),TRUE)</f>
        <v>1</v>
      </c>
      <c r="D4" t="str">
        <f>IF(B4&lt;&gt;"",VLOOKUP(B4,nst,4,FALSE)*D$2*30/100,"")</f>
        <v/>
      </c>
      <c r="E4" t="b">
        <f>IF(Prüfungsliste!G4&lt;&gt;"",OR(VLOOKUP(Prüfungsliste!G4,nst,5,FALSE)="",VLOOKUP(Prüfungsliste!G4,nst,5,FALSE)&gt;=DATE(YEAR(Prüfungsliste!E4),MONTH(Prüfungsliste!E4),DAY(Prüfungsliste!E4)-D4)),TRUE)</f>
        <v>1</v>
      </c>
      <c r="F4" t="str">
        <f>IF(Prüfungsliste!G4&lt;&gt;"",
  VLOOKUP(ZE!T4,pli,37,FALSE),
 "")</f>
        <v/>
      </c>
      <c r="G4" t="str">
        <f>IF(Prüfungsliste!G4&lt;&gt;"",
 IF(Prüfungsliste!AQ4=2,
  VLOOKUP(ZE!T4,pli,39,FALSE)*2,
  VLOOKUP(ZE!T4,pli,39,FALSE)),
 "")</f>
        <v/>
      </c>
      <c r="H4" t="b">
        <f>IF(Prüfungsliste!G4&lt;&gt;"",
 OR( ZE!F4=COUNT(Prüfungsliste!M4,Prüfungsliste!S4,Prüfungsliste!AA4,Prüfungsliste!AD4,Prüfungsliste!AH4,Prüfungsliste!AK4,Prüfungsliste!AL4),
  ZE!N4),
 FALSE)</f>
        <v>0</v>
      </c>
      <c r="I4" t="b">
        <f>IF(Prüfungsliste!G4&lt;&gt;"",AND(H4,IF(Prüfungsliste!AQ4=1,TRUE,IF(Prüfungsliste!AQ4=2,Prüfungsliste!AT4&gt;0,IF(Prüfungsliste!AQ4=3,AND(Prüfungsliste!AU4&lt;&gt;"",Prüfungsliste!AV4&lt;&gt;""),FALSE)))),FALSE)</f>
        <v>0</v>
      </c>
      <c r="J4" t="b">
        <f>IF(Prüfungsliste!AQ4=2,
 TRUE,
 AND(NOT(N4),
  Prüfungsliste!AS4&gt;=G4))</f>
        <v>1</v>
      </c>
      <c r="K4" t="b">
        <f>IF(Prüfungsliste!AQ4=1,
 J4,
 IF(Prüfungsliste!AQ4=2,
  Prüfungsliste!AT4+Prüfungsliste!AS4&gt;=G4,
  IF(Prüfungsliste!AQ4=3,
   IF(J4,1,0)+IF(Prüfungsliste!AU4="B",1,0)+IF(Prüfungsliste!AV4="B",1,0)&gt;=2,
   FALSE)))</f>
        <v>0</v>
      </c>
      <c r="L4" t="b">
        <f>IF(OR(Prüfungsliste!AQ4=1,Prüfungsliste!AQ4=3),OR(Prüfungsliste!M4=1,Prüfungsliste!S4=1,Prüfungsliste!AA4=1,Prüfungsliste!AD4=1,Prüfungsliste!AH4=1,Prüfungsliste!AK4=1,Prüfungsliste!AL4=1),
 FALSE)</f>
        <v>0</v>
      </c>
      <c r="M4" t="b">
        <f>IF( Prüfungsliste!AL4&lt;&gt;"",
  OR( AND( Prüfungsliste!AL4&lt;=2,
    OR(Prüfungsliste!AU4="NB",Prüfungsliste!AV4="NB")
   ),
   AND( Prüfungsliste!AU4="NB",Prüfungsliste!AV4="NB")
  ),
  FALSE)</f>
        <v>0</v>
      </c>
      <c r="N4" t="b">
        <f>OR(ZE!L4,ZE!M4)</f>
        <v>0</v>
      </c>
      <c r="O4" t="str">
        <f>IF(Prüfungsliste!D4&lt;&gt;"",YEARFRAC(PTag,Prüfungsliste!D4),"")</f>
        <v/>
      </c>
      <c r="P4" t="str">
        <f t="shared" ref="P4:P23" si="0">IF(O4&lt;&gt;"",HLOOKUP(O4,AStufe,2,TRUE)+1,"")</f>
        <v/>
      </c>
      <c r="Q4" t="str">
        <f>Prüfungsliste!G4&amp;P4&amp;Prüfungsliste!AX4</f>
        <v/>
      </c>
      <c r="R4" t="str">
        <f>IF(Prüfungsliste!G4&lt;&gt;"",VLOOKUP(Prüfungsliste!G4,nst,11,FALSE),"")</f>
        <v/>
      </c>
      <c r="S4" t="str">
        <f>IF(O4&lt;&gt;"",IF(O4&lt;S$1,"J",IF(O4&lt;S$2,"E","S")),"E")</f>
        <v>E</v>
      </c>
      <c r="T4" t="str">
        <f>Prüfungsliste!G4 &amp; ZE!S4</f>
        <v>E</v>
      </c>
      <c r="Z4" t="str">
        <f>IF(Prüfungsliste!B4&lt;&gt;"",TRIM(IF(FIND(",",Prüfungsliste!B4&amp;",",1)&lt;LEN(Prüfungsliste!B4)+1,RIGHT(Prüfungsliste!B4,LEN(Prüfungsliste!B4)-FIND(",",Prüfungsliste!B4,1))&amp;" "&amp;LEFT(Prüfungsliste!B4,FIND(",",Prüfungsliste!B4,1)-1),Prüfungsliste!B4)),"")</f>
        <v/>
      </c>
      <c r="AA4" t="b">
        <f>OR(Prüfungsliste!AX4="B",Prüfungsliste!AX4="")</f>
        <v>1</v>
      </c>
    </row>
    <row r="5" spans="1:27" x14ac:dyDescent="0.2">
      <c r="A5" s="7" t="b">
        <f ca="1">AND(Prüfungsliste!D5&lt;&gt;"",YEARFRAC(Prüfungsliste!D5,PTag)&lt;=Kinderprüfungsgrenze)</f>
        <v>0</v>
      </c>
      <c r="B5" s="8" t="str">
        <f>IF(Prüfungsliste!$F5&lt;&gt;"",VLOOKUP(Prüfungsliste!$F5,nstGrad,IF(A5,3,2),FALSE),"")</f>
        <v/>
      </c>
      <c r="C5" t="b">
        <f>IF(Prüfungsliste!G5&lt;&gt;"",OR(VLOOKUP(Prüfungsliste!G5,nst,3,FALSE)="",VLOOKUP(Prüfungsliste!G5,nst,3,FALSE)&gt;=DATE(YEAR(Prüfungsliste!D5),MONTH(Prüfungsliste!D5),DAY(Prüfungsliste!D5)-C$2)),TRUE)</f>
        <v>1</v>
      </c>
      <c r="D5" t="str">
        <f t="shared" ref="D5:D23" si="1">IF(B5&lt;&gt;"",VLOOKUP(B5,nst,4,FALSE)*D$2*30/100,"")</f>
        <v/>
      </c>
      <c r="E5" t="b">
        <f>IF(Prüfungsliste!G5&lt;&gt;"",OR(VLOOKUP(Prüfungsliste!G5,nst,5,FALSE)="",VLOOKUP(Prüfungsliste!G5,nst,5,FALSE)&gt;=DATE(YEAR(Prüfungsliste!E5),MONTH(Prüfungsliste!E5),DAY(Prüfungsliste!E5)-D5)),TRUE)</f>
        <v>1</v>
      </c>
      <c r="F5" t="str">
        <f>IF(Prüfungsliste!G5&lt;&gt;"",
  VLOOKUP(ZE!T5,pli,37,FALSE),
 "")</f>
        <v/>
      </c>
      <c r="G5" t="str">
        <f>IF(Prüfungsliste!G5&lt;&gt;"",
 IF(Prüfungsliste!AQ5=2,
  VLOOKUP(ZE!T5,pli,39,FALSE)*2,
  VLOOKUP(ZE!T5,pli,39,FALSE)),
 "")</f>
        <v/>
      </c>
      <c r="H5" t="b">
        <f>IF(Prüfungsliste!G5&lt;&gt;"",
 OR( ZE!F5=COUNT(Prüfungsliste!M5,Prüfungsliste!S5,Prüfungsliste!AA5,Prüfungsliste!AD5,Prüfungsliste!AH5,Prüfungsliste!AK5,Prüfungsliste!AL5),
  ZE!N5),
 FALSE)</f>
        <v>0</v>
      </c>
      <c r="I5" t="b">
        <f>IF(Prüfungsliste!G5&lt;&gt;"",AND(H5,IF(Prüfungsliste!AQ5=1,TRUE,IF(Prüfungsliste!AQ5=2,Prüfungsliste!AT5&gt;0,IF(Prüfungsliste!AQ5=3,AND(Prüfungsliste!AU5&lt;&gt;"",Prüfungsliste!AV5&lt;&gt;""),FALSE)))),FALSE)</f>
        <v>0</v>
      </c>
      <c r="J5" t="b">
        <f>IF(Prüfungsliste!AQ5=2,
 TRUE,
 AND(NOT(N5),
  Prüfungsliste!AS5&gt;=G5))</f>
        <v>1</v>
      </c>
      <c r="K5" t="b">
        <f>IF(Prüfungsliste!AQ5=1,
 J5,
 IF(Prüfungsliste!AQ5=2,
  Prüfungsliste!AT5+Prüfungsliste!AS5&gt;=G5,
  IF(Prüfungsliste!AQ5=3,
   IF(J5,1,0)+IF(Prüfungsliste!AU5="B",1,0)+IF(Prüfungsliste!AV5="B",1,0)&gt;=2,
   FALSE)))</f>
        <v>0</v>
      </c>
      <c r="L5" t="b">
        <f>IF(OR(Prüfungsliste!AQ5=1,Prüfungsliste!AQ5=3),OR(Prüfungsliste!M5=1,Prüfungsliste!S5=1,Prüfungsliste!AA5=1,Prüfungsliste!AD5=1,Prüfungsliste!AH5=1,Prüfungsliste!AK5=1,Prüfungsliste!AL5=1),
 FALSE)</f>
        <v>0</v>
      </c>
      <c r="M5" t="b">
        <f>IF( Prüfungsliste!AL5&lt;&gt;"",
  OR( AND( Prüfungsliste!AL5&lt;=2,
    OR(Prüfungsliste!AU5="NB",Prüfungsliste!AV5="NB")
   ),
   AND( Prüfungsliste!AU5="NB",Prüfungsliste!AV5="NB")
  ),
  FALSE)</f>
        <v>0</v>
      </c>
      <c r="N5" t="b">
        <f>OR(ZE!L5,ZE!M5)</f>
        <v>0</v>
      </c>
      <c r="O5" t="str">
        <f>IF(Prüfungsliste!D5&lt;&gt;"",YEARFRAC(PTag,Prüfungsliste!D5),"")</f>
        <v/>
      </c>
      <c r="P5" t="str">
        <f t="shared" si="0"/>
        <v/>
      </c>
      <c r="Q5" t="str">
        <f>Prüfungsliste!G5&amp;P5&amp;Prüfungsliste!AX5</f>
        <v/>
      </c>
      <c r="R5" t="str">
        <f>IF(Prüfungsliste!G5&lt;&gt;"",VLOOKUP(Prüfungsliste!G5,nst,11,FALSE),"")</f>
        <v/>
      </c>
      <c r="S5" t="str">
        <f>IF(O5&lt;&gt;"",IF(O5&lt;S$1,"J",IF(O5&lt;S$2,"E","S")),"E")</f>
        <v>E</v>
      </c>
      <c r="T5" t="str">
        <f>Prüfungsliste!G5 &amp; ZE!S5</f>
        <v>E</v>
      </c>
      <c r="Z5" t="str">
        <f>IF(Prüfungsliste!B5&lt;&gt;"",TRIM(IF(FIND(",",Prüfungsliste!B5&amp;",",1)&lt;LEN(Prüfungsliste!B5)+1,RIGHT(Prüfungsliste!B5,LEN(Prüfungsliste!B5)-FIND(",",Prüfungsliste!B5,1))&amp;" "&amp;LEFT(Prüfungsliste!B5,FIND(",",Prüfungsliste!B5,1)-1),Prüfungsliste!B5)),"")</f>
        <v/>
      </c>
      <c r="AA5" t="b">
        <f>OR(Prüfungsliste!AX5="B",Prüfungsliste!AX5="")</f>
        <v>1</v>
      </c>
    </row>
    <row r="6" spans="1:27" x14ac:dyDescent="0.2">
      <c r="A6" s="7" t="b">
        <f ca="1">AND(Prüfungsliste!D6&lt;&gt;"",YEARFRAC(Prüfungsliste!D6,PTag)&lt;=Kinderprüfungsgrenze)</f>
        <v>0</v>
      </c>
      <c r="B6" s="8" t="str">
        <f>IF(Prüfungsliste!$F6&lt;&gt;"",VLOOKUP(Prüfungsliste!$F6,nstGrad,IF(A6,3,2),FALSE),"")</f>
        <v/>
      </c>
      <c r="C6" t="b">
        <f>IF(Prüfungsliste!G6&lt;&gt;"",OR(VLOOKUP(Prüfungsliste!G6,nst,3,FALSE)="",VLOOKUP(Prüfungsliste!G6,nst,3,FALSE)&gt;=DATE(YEAR(Prüfungsliste!D6),MONTH(Prüfungsliste!D6),DAY(Prüfungsliste!D6)-C$2)),TRUE)</f>
        <v>1</v>
      </c>
      <c r="D6" t="str">
        <f t="shared" si="1"/>
        <v/>
      </c>
      <c r="E6" t="b">
        <f>IF(Prüfungsliste!G6&lt;&gt;"",OR(VLOOKUP(Prüfungsliste!G6,nst,5,FALSE)="",VLOOKUP(Prüfungsliste!G6,nst,5,FALSE)&gt;=DATE(YEAR(Prüfungsliste!E6),MONTH(Prüfungsliste!E6),DAY(Prüfungsliste!E6)-D6)),TRUE)</f>
        <v>1</v>
      </c>
      <c r="F6" t="str">
        <f>IF(Prüfungsliste!G6&lt;&gt;"",
  VLOOKUP(ZE!T6,pli,37,FALSE),
 "")</f>
        <v/>
      </c>
      <c r="G6" t="str">
        <f>IF(Prüfungsliste!G6&lt;&gt;"",
 IF(Prüfungsliste!AQ6=2,
  VLOOKUP(ZE!T6,pli,39,FALSE)*2,
  VLOOKUP(ZE!T6,pli,39,FALSE)),
 "")</f>
        <v/>
      </c>
      <c r="H6" t="b">
        <f>IF(Prüfungsliste!G6&lt;&gt;"",
 OR( ZE!F6=COUNT(Prüfungsliste!M6,Prüfungsliste!S6,Prüfungsliste!AA6,Prüfungsliste!AD6,Prüfungsliste!AH6,Prüfungsliste!AK6,Prüfungsliste!AL6),
  ZE!N6),
 FALSE)</f>
        <v>0</v>
      </c>
      <c r="I6" t="b">
        <f>IF(Prüfungsliste!G6&lt;&gt;"",AND(H6,IF(Prüfungsliste!AQ6=1,TRUE,IF(Prüfungsliste!AQ6=2,Prüfungsliste!AT6&gt;0,IF(Prüfungsliste!AQ6=3,AND(Prüfungsliste!AU6&lt;&gt;"",Prüfungsliste!AV6&lt;&gt;""),FALSE)))),FALSE)</f>
        <v>0</v>
      </c>
      <c r="J6" t="b">
        <f>IF(Prüfungsliste!AQ6=2,
 TRUE,
 AND(NOT(N6),
  Prüfungsliste!AS6&gt;=G6))</f>
        <v>1</v>
      </c>
      <c r="K6" t="b">
        <f>IF(Prüfungsliste!AQ6=1,
 J6,
 IF(Prüfungsliste!AQ6=2,
  Prüfungsliste!AT6+Prüfungsliste!AS6&gt;=G6,
  IF(Prüfungsliste!AQ6=3,
   IF(J6,1,0)+IF(Prüfungsliste!AU6="B",1,0)+IF(Prüfungsliste!AV6="B",1,0)&gt;=2,
   FALSE)))</f>
        <v>0</v>
      </c>
      <c r="L6" t="b">
        <f>IF(OR(Prüfungsliste!AQ6=1,Prüfungsliste!AQ6=3),OR(Prüfungsliste!M6=1,Prüfungsliste!S6=1,Prüfungsliste!AA6=1,Prüfungsliste!AD6=1,Prüfungsliste!AH6=1,Prüfungsliste!AK6=1,Prüfungsliste!AL6=1),
 FALSE)</f>
        <v>0</v>
      </c>
      <c r="M6" t="b">
        <f>IF( Prüfungsliste!AL6&lt;&gt;"",
  OR( AND( Prüfungsliste!AL6&lt;=2,
    OR(Prüfungsliste!AU6="NB",Prüfungsliste!AV6="NB")
   ),
   AND( Prüfungsliste!AU6="NB",Prüfungsliste!AV6="NB")
  ),
  FALSE)</f>
        <v>0</v>
      </c>
      <c r="N6" t="b">
        <f>OR(ZE!L6,ZE!M6)</f>
        <v>0</v>
      </c>
      <c r="O6" t="str">
        <f>IF(Prüfungsliste!D6&lt;&gt;"",YEARFRAC(PTag,Prüfungsliste!D6),"")</f>
        <v/>
      </c>
      <c r="P6" t="str">
        <f t="shared" si="0"/>
        <v/>
      </c>
      <c r="Q6" t="str">
        <f>Prüfungsliste!G6&amp;P6&amp;Prüfungsliste!AX6</f>
        <v/>
      </c>
      <c r="R6" t="str">
        <f>IF(Prüfungsliste!G6&lt;&gt;"",VLOOKUP(Prüfungsliste!G6,nst,11,FALSE),"")</f>
        <v/>
      </c>
      <c r="S6" t="str">
        <f t="shared" ref="S6:S23" si="2">IF(O6&lt;&gt;"",IF(O6&lt;S$1,"J",IF(O6&lt;S$2,"E","S")),"E")</f>
        <v>E</v>
      </c>
      <c r="T6" t="str">
        <f>Prüfungsliste!G6 &amp; ZE!S6</f>
        <v>E</v>
      </c>
      <c r="Z6" t="str">
        <f>IF(Prüfungsliste!B6&lt;&gt;"",TRIM(IF(FIND(",",Prüfungsliste!B6&amp;",",1)&lt;LEN(Prüfungsliste!B6)+1,RIGHT(Prüfungsliste!B6,LEN(Prüfungsliste!B6)-FIND(",",Prüfungsliste!B6,1))&amp;" "&amp;LEFT(Prüfungsliste!B6,FIND(",",Prüfungsliste!B6,1)-1),Prüfungsliste!B6)),"")</f>
        <v/>
      </c>
      <c r="AA6" t="b">
        <f>OR(Prüfungsliste!AX6="B",Prüfungsliste!AX6="")</f>
        <v>1</v>
      </c>
    </row>
    <row r="7" spans="1:27" x14ac:dyDescent="0.2">
      <c r="A7" s="7" t="b">
        <f ca="1">AND(Prüfungsliste!D7&lt;&gt;"",YEARFRAC(Prüfungsliste!D7,PTag)&lt;=Kinderprüfungsgrenze)</f>
        <v>0</v>
      </c>
      <c r="B7" s="8" t="str">
        <f>IF(Prüfungsliste!$F7&lt;&gt;"",VLOOKUP(Prüfungsliste!$F7,nstGrad,IF(A7,3,2),FALSE),"")</f>
        <v/>
      </c>
      <c r="C7" t="b">
        <f>IF(Prüfungsliste!G7&lt;&gt;"",OR(VLOOKUP(Prüfungsliste!G7,nst,3,FALSE)="",VLOOKUP(Prüfungsliste!G7,nst,3,FALSE)&gt;=DATE(YEAR(Prüfungsliste!D7),MONTH(Prüfungsliste!D7),DAY(Prüfungsliste!D7)-C$2)),TRUE)</f>
        <v>1</v>
      </c>
      <c r="D7" t="str">
        <f t="shared" si="1"/>
        <v/>
      </c>
      <c r="E7" t="b">
        <f>IF(Prüfungsliste!G7&lt;&gt;"",OR(VLOOKUP(Prüfungsliste!G7,nst,5,FALSE)="",VLOOKUP(Prüfungsliste!G7,nst,5,FALSE)&gt;=DATE(YEAR(Prüfungsliste!E7),MONTH(Prüfungsliste!E7),DAY(Prüfungsliste!E7)-D7)),TRUE)</f>
        <v>1</v>
      </c>
      <c r="F7" t="str">
        <f>IF(Prüfungsliste!G7&lt;&gt;"",
  VLOOKUP(ZE!T7,pli,37,FALSE),
 "")</f>
        <v/>
      </c>
      <c r="G7" t="str">
        <f>IF(Prüfungsliste!G7&lt;&gt;"",
 IF(Prüfungsliste!AQ7=2,
  VLOOKUP(ZE!T7,pli,39,FALSE)*2,
  VLOOKUP(ZE!T7,pli,39,FALSE)),
 "")</f>
        <v/>
      </c>
      <c r="H7" t="b">
        <f>IF(Prüfungsliste!G7&lt;&gt;"",
 OR( ZE!F7=COUNT(Prüfungsliste!M7,Prüfungsliste!S7,Prüfungsliste!AA7,Prüfungsliste!AD7,Prüfungsliste!AH7,Prüfungsliste!AK7,Prüfungsliste!AL7),
  ZE!N7),
 FALSE)</f>
        <v>0</v>
      </c>
      <c r="I7" t="b">
        <f>IF(Prüfungsliste!G7&lt;&gt;"",AND(H7,IF(Prüfungsliste!AQ7=1,TRUE,IF(Prüfungsliste!AQ7=2,Prüfungsliste!AT7&gt;0,IF(Prüfungsliste!AQ7=3,AND(Prüfungsliste!AU7&lt;&gt;"",Prüfungsliste!AV7&lt;&gt;""),FALSE)))),FALSE)</f>
        <v>0</v>
      </c>
      <c r="J7" t="b">
        <f>IF(Prüfungsliste!AQ7=2,
 TRUE,
 AND(NOT(N7),
  Prüfungsliste!AS7&gt;=G7))</f>
        <v>1</v>
      </c>
      <c r="K7" t="b">
        <f>IF(Prüfungsliste!AQ7=1,
 J7,
 IF(Prüfungsliste!AQ7=2,
  Prüfungsliste!AT7+Prüfungsliste!AS7&gt;=G7,
  IF(Prüfungsliste!AQ7=3,
   IF(J7,1,0)+IF(Prüfungsliste!AU7="B",1,0)+IF(Prüfungsliste!AV7="B",1,0)&gt;=2,
   FALSE)))</f>
        <v>0</v>
      </c>
      <c r="L7" t="b">
        <f>IF(OR(Prüfungsliste!AQ7=1,Prüfungsliste!AQ7=3),OR(Prüfungsliste!M7=1,Prüfungsliste!S7=1,Prüfungsliste!AA7=1,Prüfungsliste!AD7=1,Prüfungsliste!AH7=1,Prüfungsliste!AK7=1,Prüfungsliste!AL7=1),
 FALSE)</f>
        <v>0</v>
      </c>
      <c r="M7" t="b">
        <f>IF( Prüfungsliste!AL7&lt;&gt;"",
  OR( AND( Prüfungsliste!AL7&lt;=2,
    OR(Prüfungsliste!AU7="NB",Prüfungsliste!AV7="NB")
   ),
   AND( Prüfungsliste!AU7="NB",Prüfungsliste!AV7="NB")
  ),
  FALSE)</f>
        <v>0</v>
      </c>
      <c r="N7" t="b">
        <f>OR(ZE!L7,ZE!M7)</f>
        <v>0</v>
      </c>
      <c r="O7" t="str">
        <f>IF(Prüfungsliste!D7&lt;&gt;"",YEARFRAC(PTag,Prüfungsliste!D7),"")</f>
        <v/>
      </c>
      <c r="P7" t="str">
        <f t="shared" si="0"/>
        <v/>
      </c>
      <c r="Q7" t="str">
        <f>Prüfungsliste!G7&amp;P7&amp;Prüfungsliste!AX7</f>
        <v/>
      </c>
      <c r="R7" t="str">
        <f>IF(Prüfungsliste!G7&lt;&gt;"",VLOOKUP(Prüfungsliste!G7,nst,11,FALSE),"")</f>
        <v/>
      </c>
      <c r="S7" t="str">
        <f t="shared" si="2"/>
        <v>E</v>
      </c>
      <c r="T7" t="str">
        <f>Prüfungsliste!G7 &amp; ZE!S7</f>
        <v>E</v>
      </c>
      <c r="Z7" t="str">
        <f>IF(Prüfungsliste!B7&lt;&gt;"",TRIM(IF(FIND(",",Prüfungsliste!B7&amp;",",1)&lt;LEN(Prüfungsliste!B7)+1,RIGHT(Prüfungsliste!B7,LEN(Prüfungsliste!B7)-FIND(",",Prüfungsliste!B7,1))&amp;" "&amp;LEFT(Prüfungsliste!B7,FIND(",",Prüfungsliste!B7,1)-1),Prüfungsliste!B7)),"")</f>
        <v/>
      </c>
      <c r="AA7" t="b">
        <f>OR(Prüfungsliste!AX7="B",Prüfungsliste!AX7="")</f>
        <v>1</v>
      </c>
    </row>
    <row r="8" spans="1:27" x14ac:dyDescent="0.2">
      <c r="A8" s="7" t="b">
        <f ca="1">AND(Prüfungsliste!D8&lt;&gt;"",YEARFRAC(Prüfungsliste!D8,PTag)&lt;=Kinderprüfungsgrenze)</f>
        <v>0</v>
      </c>
      <c r="B8" s="8" t="str">
        <f>IF(Prüfungsliste!$F8&lt;&gt;"",VLOOKUP(Prüfungsliste!$F8,nstGrad,IF(A8,3,2),FALSE),"")</f>
        <v/>
      </c>
      <c r="C8" t="b">
        <f>IF(Prüfungsliste!G8&lt;&gt;"",OR(VLOOKUP(Prüfungsliste!G8,nst,3,FALSE)="",VLOOKUP(Prüfungsliste!G8,nst,3,FALSE)&gt;=DATE(YEAR(Prüfungsliste!D8),MONTH(Prüfungsliste!D8),DAY(Prüfungsliste!D8)-C$2)),TRUE)</f>
        <v>1</v>
      </c>
      <c r="D8" t="str">
        <f t="shared" si="1"/>
        <v/>
      </c>
      <c r="E8" t="b">
        <f>IF(Prüfungsliste!G8&lt;&gt;"",OR(VLOOKUP(Prüfungsliste!G8,nst,5,FALSE)="",VLOOKUP(Prüfungsliste!G8,nst,5,FALSE)&gt;=DATE(YEAR(Prüfungsliste!E8),MONTH(Prüfungsliste!E8),DAY(Prüfungsliste!E8)-D8)),TRUE)</f>
        <v>1</v>
      </c>
      <c r="F8" t="str">
        <f>IF(Prüfungsliste!G8&lt;&gt;"",
  VLOOKUP(ZE!T8,pli,37,FALSE),
 "")</f>
        <v/>
      </c>
      <c r="G8" t="str">
        <f>IF(Prüfungsliste!G8&lt;&gt;"",
 IF(Prüfungsliste!AQ8=2,
  VLOOKUP(ZE!T8,pli,39,FALSE)*2,
  VLOOKUP(ZE!T8,pli,39,FALSE)),
 "")</f>
        <v/>
      </c>
      <c r="H8" t="b">
        <f>IF(Prüfungsliste!G8&lt;&gt;"",
 OR( ZE!F8=COUNT(Prüfungsliste!M8,Prüfungsliste!S8,Prüfungsliste!AA8,Prüfungsliste!AD8,Prüfungsliste!AH8,Prüfungsliste!AK8,Prüfungsliste!AL8),
  ZE!N8),
 FALSE)</f>
        <v>0</v>
      </c>
      <c r="I8" t="b">
        <f>IF(Prüfungsliste!G8&lt;&gt;"",AND(H8,IF(Prüfungsliste!AQ8=1,TRUE,IF(Prüfungsliste!AQ8=2,Prüfungsliste!AT8&gt;0,IF(Prüfungsliste!AQ8=3,AND(Prüfungsliste!AU8&lt;&gt;"",Prüfungsliste!AV8&lt;&gt;""),FALSE)))),FALSE)</f>
        <v>0</v>
      </c>
      <c r="J8" t="b">
        <f>IF(Prüfungsliste!AQ8=2,
 TRUE,
 AND(NOT(N8),
  Prüfungsliste!AS8&gt;=G8))</f>
        <v>1</v>
      </c>
      <c r="K8" t="b">
        <f>IF(Prüfungsliste!AQ8=1,
 J8,
 IF(Prüfungsliste!AQ8=2,
  Prüfungsliste!AT8+Prüfungsliste!AS8&gt;=G8,
  IF(Prüfungsliste!AQ8=3,
   IF(J8,1,0)+IF(Prüfungsliste!AU8="B",1,0)+IF(Prüfungsliste!AV8="B",1,0)&gt;=2,
   FALSE)))</f>
        <v>0</v>
      </c>
      <c r="L8" t="b">
        <f>IF(OR(Prüfungsliste!AQ8=1,Prüfungsliste!AQ8=3),OR(Prüfungsliste!M8=1,Prüfungsliste!S8=1,Prüfungsliste!AA8=1,Prüfungsliste!AD8=1,Prüfungsliste!AH8=1,Prüfungsliste!AK8=1,Prüfungsliste!AL8=1),
 FALSE)</f>
        <v>0</v>
      </c>
      <c r="M8" t="b">
        <f>IF( Prüfungsliste!AL8&lt;&gt;"",
  OR( AND( Prüfungsliste!AL8&lt;=2,
    OR(Prüfungsliste!AU8="NB",Prüfungsliste!AV8="NB")
   ),
   AND( Prüfungsliste!AU8="NB",Prüfungsliste!AV8="NB")
  ),
  FALSE)</f>
        <v>0</v>
      </c>
      <c r="N8" t="b">
        <f>OR(ZE!L8,ZE!M8)</f>
        <v>0</v>
      </c>
      <c r="O8" t="str">
        <f>IF(Prüfungsliste!D8&lt;&gt;"",YEARFRAC(PTag,Prüfungsliste!D8),"")</f>
        <v/>
      </c>
      <c r="P8" t="str">
        <f t="shared" si="0"/>
        <v/>
      </c>
      <c r="Q8" t="str">
        <f>Prüfungsliste!G8&amp;P8&amp;Prüfungsliste!AX8</f>
        <v/>
      </c>
      <c r="R8" t="str">
        <f>IF(Prüfungsliste!G8&lt;&gt;"",VLOOKUP(Prüfungsliste!G8,nst,11,FALSE),"")</f>
        <v/>
      </c>
      <c r="S8" t="str">
        <f t="shared" si="2"/>
        <v>E</v>
      </c>
      <c r="T8" t="str">
        <f>Prüfungsliste!G8 &amp; ZE!S8</f>
        <v>E</v>
      </c>
      <c r="Z8" t="str">
        <f>IF(Prüfungsliste!B8&lt;&gt;"",TRIM(IF(FIND(",",Prüfungsliste!B8&amp;",",1)&lt;LEN(Prüfungsliste!B8)+1,RIGHT(Prüfungsliste!B8,LEN(Prüfungsliste!B8)-FIND(",",Prüfungsliste!B8,1))&amp;" "&amp;LEFT(Prüfungsliste!B8,FIND(",",Prüfungsliste!B8,1)-1),Prüfungsliste!B8)),"")</f>
        <v/>
      </c>
      <c r="AA8" t="b">
        <f>OR(Prüfungsliste!AX8="B",Prüfungsliste!AX8="")</f>
        <v>1</v>
      </c>
    </row>
    <row r="9" spans="1:27" x14ac:dyDescent="0.2">
      <c r="A9" s="7" t="b">
        <f ca="1">AND(Prüfungsliste!D9&lt;&gt;"",YEARFRAC(Prüfungsliste!D9,PTag)&lt;=Kinderprüfungsgrenze)</f>
        <v>0</v>
      </c>
      <c r="B9" s="8" t="str">
        <f>IF(Prüfungsliste!$F9&lt;&gt;"",VLOOKUP(Prüfungsliste!$F9,nstGrad,IF(A9,3,2),FALSE),"")</f>
        <v/>
      </c>
      <c r="C9" t="b">
        <f>IF(Prüfungsliste!G9&lt;&gt;"",OR(VLOOKUP(Prüfungsliste!G9,nst,3,FALSE)="",VLOOKUP(Prüfungsliste!G9,nst,3,FALSE)&gt;=DATE(YEAR(Prüfungsliste!D9),MONTH(Prüfungsliste!D9),DAY(Prüfungsliste!D9)-C$2)),TRUE)</f>
        <v>1</v>
      </c>
      <c r="D9" t="str">
        <f t="shared" si="1"/>
        <v/>
      </c>
      <c r="E9" t="b">
        <f>IF(Prüfungsliste!G9&lt;&gt;"",OR(VLOOKUP(Prüfungsliste!G9,nst,5,FALSE)="",VLOOKUP(Prüfungsliste!G9,nst,5,FALSE)&gt;=DATE(YEAR(Prüfungsliste!E9),MONTH(Prüfungsliste!E9),DAY(Prüfungsliste!E9)-D9)),TRUE)</f>
        <v>1</v>
      </c>
      <c r="F9" t="str">
        <f>IF(Prüfungsliste!G9&lt;&gt;"",
  VLOOKUP(ZE!T9,pli,37,FALSE),
 "")</f>
        <v/>
      </c>
      <c r="G9" t="str">
        <f>IF(Prüfungsliste!G9&lt;&gt;"",
 IF(Prüfungsliste!AQ9=2,
  VLOOKUP(ZE!T9,pli,39,FALSE)*2,
  VLOOKUP(ZE!T9,pli,39,FALSE)),
 "")</f>
        <v/>
      </c>
      <c r="H9" t="b">
        <f>IF(Prüfungsliste!G9&lt;&gt;"",
 OR( ZE!F9=COUNT(Prüfungsliste!M9,Prüfungsliste!S9,Prüfungsliste!AA9,Prüfungsliste!AD9,Prüfungsliste!AH9,Prüfungsliste!AK9,Prüfungsliste!AL9),
  ZE!N9),
 FALSE)</f>
        <v>0</v>
      </c>
      <c r="I9" t="b">
        <f>IF(Prüfungsliste!G9&lt;&gt;"",AND(H9,IF(Prüfungsliste!AQ9=1,TRUE,IF(Prüfungsliste!AQ9=2,Prüfungsliste!AT9&gt;0,IF(Prüfungsliste!AQ9=3,AND(Prüfungsliste!AU9&lt;&gt;"",Prüfungsliste!AV9&lt;&gt;""),FALSE)))),FALSE)</f>
        <v>0</v>
      </c>
      <c r="J9" t="b">
        <f>IF(Prüfungsliste!AQ9=2,
 TRUE,
 AND(NOT(N9),
  Prüfungsliste!AS9&gt;=G9))</f>
        <v>1</v>
      </c>
      <c r="K9" t="b">
        <f>IF(Prüfungsliste!AQ9=1,
 J9,
 IF(Prüfungsliste!AQ9=2,
  Prüfungsliste!AT9+Prüfungsliste!AS9&gt;=G9,
  IF(Prüfungsliste!AQ9=3,
   IF(J9,1,0)+IF(Prüfungsliste!AU9="B",1,0)+IF(Prüfungsliste!AV9="B",1,0)&gt;=2,
   FALSE)))</f>
        <v>0</v>
      </c>
      <c r="L9" t="b">
        <f>IF(OR(Prüfungsliste!AQ9=1,Prüfungsliste!AQ9=3),OR(Prüfungsliste!M9=1,Prüfungsliste!S9=1,Prüfungsliste!AA9=1,Prüfungsliste!AD9=1,Prüfungsliste!AH9=1,Prüfungsliste!AK9=1,Prüfungsliste!AL9=1),
 FALSE)</f>
        <v>0</v>
      </c>
      <c r="M9" t="b">
        <f>IF( Prüfungsliste!AL9&lt;&gt;"",
  OR( AND( Prüfungsliste!AL9&lt;=2,
    OR(Prüfungsliste!AU9="NB",Prüfungsliste!AV9="NB")
   ),
   AND( Prüfungsliste!AU9="NB",Prüfungsliste!AV9="NB")
  ),
  FALSE)</f>
        <v>0</v>
      </c>
      <c r="N9" t="b">
        <f>OR(ZE!L9,ZE!M9)</f>
        <v>0</v>
      </c>
      <c r="O9" t="str">
        <f>IF(Prüfungsliste!D9&lt;&gt;"",YEARFRAC(PTag,Prüfungsliste!D9),"")</f>
        <v/>
      </c>
      <c r="P9" t="str">
        <f t="shared" si="0"/>
        <v/>
      </c>
      <c r="Q9" t="str">
        <f>Prüfungsliste!G9&amp;P9&amp;Prüfungsliste!AX9</f>
        <v/>
      </c>
      <c r="R9" t="str">
        <f>IF(Prüfungsliste!G9&lt;&gt;"",VLOOKUP(Prüfungsliste!G9,nst,11,FALSE),"")</f>
        <v/>
      </c>
      <c r="S9" t="str">
        <f t="shared" si="2"/>
        <v>E</v>
      </c>
      <c r="T9" t="str">
        <f>Prüfungsliste!G9 &amp; ZE!S9</f>
        <v>E</v>
      </c>
      <c r="Z9" t="str">
        <f>IF(Prüfungsliste!B9&lt;&gt;"",TRIM(IF(FIND(",",Prüfungsliste!B9&amp;",",1)&lt;LEN(Prüfungsliste!B9)+1,RIGHT(Prüfungsliste!B9,LEN(Prüfungsliste!B9)-FIND(",",Prüfungsliste!B9,1))&amp;" "&amp;LEFT(Prüfungsliste!B9,FIND(",",Prüfungsliste!B9,1)-1),Prüfungsliste!B9)),"")</f>
        <v/>
      </c>
      <c r="AA9" t="b">
        <f>OR(Prüfungsliste!AX9="B",Prüfungsliste!AX9="")</f>
        <v>1</v>
      </c>
    </row>
    <row r="10" spans="1:27" x14ac:dyDescent="0.2">
      <c r="A10" s="7" t="b">
        <f ca="1">AND(Prüfungsliste!D10&lt;&gt;"",YEARFRAC(Prüfungsliste!D10,PTag)&lt;=Kinderprüfungsgrenze)</f>
        <v>0</v>
      </c>
      <c r="B10" s="8" t="str">
        <f>IF(Prüfungsliste!$F10&lt;&gt;"",VLOOKUP(Prüfungsliste!$F10,nstGrad,IF(A10,3,2),FALSE),"")</f>
        <v/>
      </c>
      <c r="C10" t="b">
        <f>IF(Prüfungsliste!G10&lt;&gt;"",OR(VLOOKUP(Prüfungsliste!G10,nst,3,FALSE)="",VLOOKUP(Prüfungsliste!G10,nst,3,FALSE)&gt;=DATE(YEAR(Prüfungsliste!D10),MONTH(Prüfungsliste!D10),DAY(Prüfungsliste!D10)-C$2)),TRUE)</f>
        <v>1</v>
      </c>
      <c r="D10" t="str">
        <f t="shared" si="1"/>
        <v/>
      </c>
      <c r="E10" t="b">
        <f>IF(Prüfungsliste!G10&lt;&gt;"",OR(VLOOKUP(Prüfungsliste!G10,nst,5,FALSE)="",VLOOKUP(Prüfungsliste!G10,nst,5,FALSE)&gt;=DATE(YEAR(Prüfungsliste!E10),MONTH(Prüfungsliste!E10),DAY(Prüfungsliste!E10)-D10)),TRUE)</f>
        <v>1</v>
      </c>
      <c r="F10" t="str">
        <f>IF(Prüfungsliste!G10&lt;&gt;"",
  VLOOKUP(ZE!T10,pli,37,FALSE),
 "")</f>
        <v/>
      </c>
      <c r="G10" t="str">
        <f>IF(Prüfungsliste!G10&lt;&gt;"",
 IF(Prüfungsliste!AQ10=2,
  VLOOKUP(ZE!T10,pli,39,FALSE)*2,
  VLOOKUP(ZE!T10,pli,39,FALSE)),
 "")</f>
        <v/>
      </c>
      <c r="H10" t="b">
        <f>IF(Prüfungsliste!G10&lt;&gt;"",
 OR( ZE!F10=COUNT(Prüfungsliste!M10,Prüfungsliste!S10,Prüfungsliste!AA10,Prüfungsliste!AD10,Prüfungsliste!AH10,Prüfungsliste!AK10,Prüfungsliste!AL10),
  ZE!N10),
 FALSE)</f>
        <v>0</v>
      </c>
      <c r="I10" t="b">
        <f>IF(Prüfungsliste!G10&lt;&gt;"",AND(H10,IF(Prüfungsliste!AQ10=1,TRUE,IF(Prüfungsliste!AQ10=2,Prüfungsliste!AT10&gt;0,IF(Prüfungsliste!AQ10=3,AND(Prüfungsliste!AU10&lt;&gt;"",Prüfungsliste!AV10&lt;&gt;""),FALSE)))),FALSE)</f>
        <v>0</v>
      </c>
      <c r="J10" t="b">
        <f>IF(Prüfungsliste!AQ10=2,
 TRUE,
 AND(NOT(N10),
  Prüfungsliste!AS10&gt;=G10))</f>
        <v>1</v>
      </c>
      <c r="K10" t="b">
        <f>IF(Prüfungsliste!AQ10=1,
 J10,
 IF(Prüfungsliste!AQ10=2,
  Prüfungsliste!AT10+Prüfungsliste!AS10&gt;=G10,
  IF(Prüfungsliste!AQ10=3,
   IF(J10,1,0)+IF(Prüfungsliste!AU10="B",1,0)+IF(Prüfungsliste!AV10="B",1,0)&gt;=2,
   FALSE)))</f>
        <v>0</v>
      </c>
      <c r="L10" t="b">
        <f>IF(OR(Prüfungsliste!AQ10=1,Prüfungsliste!AQ10=3),OR(Prüfungsliste!M10=1,Prüfungsliste!S10=1,Prüfungsliste!AA10=1,Prüfungsliste!AD10=1,Prüfungsliste!AH10=1,Prüfungsliste!AK10=1,Prüfungsliste!AL10=1),
 FALSE)</f>
        <v>0</v>
      </c>
      <c r="M10" t="b">
        <f>IF( Prüfungsliste!AL10&lt;&gt;"",
  OR( AND( Prüfungsliste!AL10&lt;=2,
    OR(Prüfungsliste!AU10="NB",Prüfungsliste!AV10="NB")
   ),
   AND( Prüfungsliste!AU10="NB",Prüfungsliste!AV10="NB")
  ),
  FALSE)</f>
        <v>0</v>
      </c>
      <c r="N10" t="b">
        <f>OR(ZE!L10,ZE!M10)</f>
        <v>0</v>
      </c>
      <c r="O10" t="str">
        <f>IF(Prüfungsliste!D10&lt;&gt;"",YEARFRAC(PTag,Prüfungsliste!D10),"")</f>
        <v/>
      </c>
      <c r="P10" t="str">
        <f t="shared" si="0"/>
        <v/>
      </c>
      <c r="Q10" t="str">
        <f>Prüfungsliste!G10&amp;P10&amp;Prüfungsliste!AX10</f>
        <v/>
      </c>
      <c r="R10" t="str">
        <f>IF(Prüfungsliste!G10&lt;&gt;"",VLOOKUP(Prüfungsliste!G10,nst,11,FALSE),"")</f>
        <v/>
      </c>
      <c r="S10" t="str">
        <f t="shared" si="2"/>
        <v>E</v>
      </c>
      <c r="T10" t="str">
        <f>Prüfungsliste!G10 &amp; ZE!S10</f>
        <v>E</v>
      </c>
      <c r="Z10" t="str">
        <f>IF(Prüfungsliste!B10&lt;&gt;"",TRIM(IF(FIND(",",Prüfungsliste!B10&amp;",",1)&lt;LEN(Prüfungsliste!B10)+1,RIGHT(Prüfungsliste!B10,LEN(Prüfungsliste!B10)-FIND(",",Prüfungsliste!B10,1))&amp;" "&amp;LEFT(Prüfungsliste!B10,FIND(",",Prüfungsliste!B10,1)-1),Prüfungsliste!B10)),"")</f>
        <v/>
      </c>
      <c r="AA10" t="b">
        <f>OR(Prüfungsliste!AX10="B",Prüfungsliste!AX10="")</f>
        <v>1</v>
      </c>
    </row>
    <row r="11" spans="1:27" x14ac:dyDescent="0.2">
      <c r="A11" s="7" t="b">
        <f ca="1">AND(Prüfungsliste!D11&lt;&gt;"",YEARFRAC(Prüfungsliste!D11,PTag)&lt;=Kinderprüfungsgrenze)</f>
        <v>0</v>
      </c>
      <c r="B11" s="8" t="str">
        <f>IF(Prüfungsliste!$F11&lt;&gt;"",VLOOKUP(Prüfungsliste!$F11,nstGrad,IF(A11,3,2),FALSE),"")</f>
        <v/>
      </c>
      <c r="C11" t="b">
        <f>IF(Prüfungsliste!G11&lt;&gt;"",OR(VLOOKUP(Prüfungsliste!G11,nst,3,FALSE)="",VLOOKUP(Prüfungsliste!G11,nst,3,FALSE)&gt;=DATE(YEAR(Prüfungsliste!D11),MONTH(Prüfungsliste!D11),DAY(Prüfungsliste!D11)-C$2)),TRUE)</f>
        <v>1</v>
      </c>
      <c r="D11" t="str">
        <f t="shared" si="1"/>
        <v/>
      </c>
      <c r="E11" t="b">
        <f>IF(Prüfungsliste!G11&lt;&gt;"",OR(VLOOKUP(Prüfungsliste!G11,nst,5,FALSE)="",VLOOKUP(Prüfungsliste!G11,nst,5,FALSE)&gt;=DATE(YEAR(Prüfungsliste!E11),MONTH(Prüfungsliste!E11),DAY(Prüfungsliste!E11)-D11)),TRUE)</f>
        <v>1</v>
      </c>
      <c r="F11" t="str">
        <f>IF(Prüfungsliste!G11&lt;&gt;"",
  VLOOKUP(ZE!T11,pli,37,FALSE),
 "")</f>
        <v/>
      </c>
      <c r="G11" t="str">
        <f>IF(Prüfungsliste!G11&lt;&gt;"",
 IF(Prüfungsliste!AQ11=2,
  VLOOKUP(ZE!T11,pli,39,FALSE)*2,
  VLOOKUP(ZE!T11,pli,39,FALSE)),
 "")</f>
        <v/>
      </c>
      <c r="H11" t="b">
        <f>IF(Prüfungsliste!G11&lt;&gt;"",
 OR( ZE!F11=COUNT(Prüfungsliste!M11,Prüfungsliste!S11,Prüfungsliste!AA11,Prüfungsliste!AD11,Prüfungsliste!AH11,Prüfungsliste!AK11,Prüfungsliste!AL11),
  ZE!N11),
 FALSE)</f>
        <v>0</v>
      </c>
      <c r="I11" t="b">
        <f>IF(Prüfungsliste!G11&lt;&gt;"",AND(H11,IF(Prüfungsliste!AQ11=1,TRUE,IF(Prüfungsliste!AQ11=2,Prüfungsliste!AT11&gt;0,IF(Prüfungsliste!AQ11=3,AND(Prüfungsliste!AU11&lt;&gt;"",Prüfungsliste!AV11&lt;&gt;""),FALSE)))),FALSE)</f>
        <v>0</v>
      </c>
      <c r="J11" t="b">
        <f>IF(Prüfungsliste!AQ11=2,
 TRUE,
 AND(NOT(N11),
  Prüfungsliste!AS11&gt;=G11))</f>
        <v>1</v>
      </c>
      <c r="K11" t="b">
        <f>IF(Prüfungsliste!AQ11=1,
 J11,
 IF(Prüfungsliste!AQ11=2,
  Prüfungsliste!AT11+Prüfungsliste!AS11&gt;=G11,
  IF(Prüfungsliste!AQ11=3,
   IF(J11,1,0)+IF(Prüfungsliste!AU11="B",1,0)+IF(Prüfungsliste!AV11="B",1,0)&gt;=2,
   FALSE)))</f>
        <v>0</v>
      </c>
      <c r="L11" t="b">
        <f>IF(OR(Prüfungsliste!AQ11=1,Prüfungsliste!AQ11=3),OR(Prüfungsliste!M11=1,Prüfungsliste!S11=1,Prüfungsliste!AA11=1,Prüfungsliste!AD11=1,Prüfungsliste!AH11=1,Prüfungsliste!AK11=1,Prüfungsliste!AL11=1),
 FALSE)</f>
        <v>0</v>
      </c>
      <c r="M11" t="b">
        <f>IF( Prüfungsliste!AL11&lt;&gt;"",
  OR( AND( Prüfungsliste!AL11&lt;=2,
    OR(Prüfungsliste!AU11="NB",Prüfungsliste!AV11="NB")
   ),
   AND( Prüfungsliste!AU11="NB",Prüfungsliste!AV11="NB")
  ),
  FALSE)</f>
        <v>0</v>
      </c>
      <c r="N11" t="b">
        <f>OR(ZE!L11,ZE!M11)</f>
        <v>0</v>
      </c>
      <c r="O11" t="str">
        <f>IF(Prüfungsliste!D11&lt;&gt;"",YEARFRAC(PTag,Prüfungsliste!D11),"")</f>
        <v/>
      </c>
      <c r="P11" t="str">
        <f t="shared" si="0"/>
        <v/>
      </c>
      <c r="Q11" t="str">
        <f>Prüfungsliste!G11&amp;P11&amp;Prüfungsliste!AX11</f>
        <v/>
      </c>
      <c r="R11" t="str">
        <f>IF(Prüfungsliste!G11&lt;&gt;"",VLOOKUP(Prüfungsliste!G11,nst,11,FALSE),"")</f>
        <v/>
      </c>
      <c r="S11" t="str">
        <f t="shared" si="2"/>
        <v>E</v>
      </c>
      <c r="T11" t="str">
        <f>Prüfungsliste!G11 &amp; ZE!S11</f>
        <v>E</v>
      </c>
      <c r="Z11" t="str">
        <f>IF(Prüfungsliste!B11&lt;&gt;"",TRIM(IF(FIND(",",Prüfungsliste!B11&amp;",",1)&lt;LEN(Prüfungsliste!B11)+1,RIGHT(Prüfungsliste!B11,LEN(Prüfungsliste!B11)-FIND(",",Prüfungsliste!B11,1))&amp;" "&amp;LEFT(Prüfungsliste!B11,FIND(",",Prüfungsliste!B11,1)-1),Prüfungsliste!B11)),"")</f>
        <v/>
      </c>
      <c r="AA11" t="b">
        <f>OR(Prüfungsliste!AX11="B",Prüfungsliste!AX11="")</f>
        <v>1</v>
      </c>
    </row>
    <row r="12" spans="1:27" x14ac:dyDescent="0.2">
      <c r="A12" s="7" t="b">
        <f ca="1">AND(Prüfungsliste!D12&lt;&gt;"",YEARFRAC(Prüfungsliste!D12,PTag)&lt;=Kinderprüfungsgrenze)</f>
        <v>0</v>
      </c>
      <c r="B12" s="8" t="str">
        <f>IF(Prüfungsliste!$F12&lt;&gt;"",VLOOKUP(Prüfungsliste!$F12,nstGrad,IF(A12,3,2),FALSE),"")</f>
        <v/>
      </c>
      <c r="C12" t="b">
        <f>IF(Prüfungsliste!G12&lt;&gt;"",OR(VLOOKUP(Prüfungsliste!G12,nst,3,FALSE)="",VLOOKUP(Prüfungsliste!G12,nst,3,FALSE)&gt;=DATE(YEAR(Prüfungsliste!D12),MONTH(Prüfungsliste!D12),DAY(Prüfungsliste!D12)-C$2)),TRUE)</f>
        <v>1</v>
      </c>
      <c r="D12" t="str">
        <f t="shared" si="1"/>
        <v/>
      </c>
      <c r="E12" t="b">
        <f>IF(Prüfungsliste!G12&lt;&gt;"",OR(VLOOKUP(Prüfungsliste!G12,nst,5,FALSE)="",VLOOKUP(Prüfungsliste!G12,nst,5,FALSE)&gt;=DATE(YEAR(Prüfungsliste!E12),MONTH(Prüfungsliste!E12),DAY(Prüfungsliste!E12)-D12)),TRUE)</f>
        <v>1</v>
      </c>
      <c r="F12" t="str">
        <f>IF(Prüfungsliste!G12&lt;&gt;"",
  VLOOKUP(ZE!T12,pli,37,FALSE),
 "")</f>
        <v/>
      </c>
      <c r="G12" t="str">
        <f>IF(Prüfungsliste!G12&lt;&gt;"",
 IF(Prüfungsliste!AQ12=2,
  VLOOKUP(ZE!T12,pli,39,FALSE)*2,
  VLOOKUP(ZE!T12,pli,39,FALSE)),
 "")</f>
        <v/>
      </c>
      <c r="H12" t="b">
        <f>IF(Prüfungsliste!G12&lt;&gt;"",
 OR( ZE!F12=COUNT(Prüfungsliste!M12,Prüfungsliste!S12,Prüfungsliste!AA12,Prüfungsliste!AD12,Prüfungsliste!AH12,Prüfungsliste!AK12,Prüfungsliste!AL12),
  ZE!N12),
 FALSE)</f>
        <v>0</v>
      </c>
      <c r="I12" t="b">
        <f>IF(Prüfungsliste!G12&lt;&gt;"",AND(H12,IF(Prüfungsliste!AQ12=1,TRUE,IF(Prüfungsliste!AQ12=2,Prüfungsliste!AT12&gt;0,IF(Prüfungsliste!AQ12=3,AND(Prüfungsliste!AU12&lt;&gt;"",Prüfungsliste!AV12&lt;&gt;""),FALSE)))),FALSE)</f>
        <v>0</v>
      </c>
      <c r="J12" t="b">
        <f>IF(Prüfungsliste!AQ12=2,
 TRUE,
 AND(NOT(N12),
  Prüfungsliste!AS12&gt;=G12))</f>
        <v>1</v>
      </c>
      <c r="K12" t="b">
        <f>IF(Prüfungsliste!AQ12=1,
 J12,
 IF(Prüfungsliste!AQ12=2,
  Prüfungsliste!AT12+Prüfungsliste!AS12&gt;=G12,
  IF(Prüfungsliste!AQ12=3,
   IF(J12,1,0)+IF(Prüfungsliste!AU12="B",1,0)+IF(Prüfungsliste!AV12="B",1,0)&gt;=2,
   FALSE)))</f>
        <v>0</v>
      </c>
      <c r="L12" t="b">
        <f>IF(OR(Prüfungsliste!AQ12=1,Prüfungsliste!AQ12=3),OR(Prüfungsliste!M12=1,Prüfungsliste!S12=1,Prüfungsliste!AA12=1,Prüfungsliste!AD12=1,Prüfungsliste!AH12=1,Prüfungsliste!AK12=1,Prüfungsliste!AL12=1),
 FALSE)</f>
        <v>0</v>
      </c>
      <c r="M12" t="b">
        <f>IF( Prüfungsliste!AL12&lt;&gt;"",
  OR( AND( Prüfungsliste!AL12&lt;=2,
    OR(Prüfungsliste!AU12="NB",Prüfungsliste!AV12="NB")
   ),
   AND( Prüfungsliste!AU12="NB",Prüfungsliste!AV12="NB")
  ),
  FALSE)</f>
        <v>0</v>
      </c>
      <c r="N12" t="b">
        <f>OR(ZE!L12,ZE!M12)</f>
        <v>0</v>
      </c>
      <c r="O12" t="str">
        <f>IF(Prüfungsliste!D12&lt;&gt;"",YEARFRAC(PTag,Prüfungsliste!D12),"")</f>
        <v/>
      </c>
      <c r="P12" t="str">
        <f t="shared" si="0"/>
        <v/>
      </c>
      <c r="Q12" t="str">
        <f>Prüfungsliste!G12&amp;P12&amp;Prüfungsliste!AX12</f>
        <v/>
      </c>
      <c r="R12" t="str">
        <f>IF(Prüfungsliste!G12&lt;&gt;"",VLOOKUP(Prüfungsliste!G12,nst,11,FALSE),"")</f>
        <v/>
      </c>
      <c r="S12" t="str">
        <f t="shared" si="2"/>
        <v>E</v>
      </c>
      <c r="T12" t="str">
        <f>Prüfungsliste!G12 &amp; ZE!S12</f>
        <v>E</v>
      </c>
      <c r="Z12" t="str">
        <f>IF(Prüfungsliste!B12&lt;&gt;"",TRIM(IF(FIND(",",Prüfungsliste!B12&amp;",",1)&lt;LEN(Prüfungsliste!B12)+1,RIGHT(Prüfungsliste!B12,LEN(Prüfungsliste!B12)-FIND(",",Prüfungsliste!B12,1))&amp;" "&amp;LEFT(Prüfungsliste!B12,FIND(",",Prüfungsliste!B12,1)-1),Prüfungsliste!B12)),"")</f>
        <v/>
      </c>
      <c r="AA12" t="b">
        <f>OR(Prüfungsliste!AX12="B",Prüfungsliste!AX12="")</f>
        <v>1</v>
      </c>
    </row>
    <row r="13" spans="1:27" x14ac:dyDescent="0.2">
      <c r="A13" s="7" t="b">
        <f ca="1">AND(Prüfungsliste!D13&lt;&gt;"",YEARFRAC(Prüfungsliste!D13,PTag)&lt;=Kinderprüfungsgrenze)</f>
        <v>0</v>
      </c>
      <c r="B13" s="8" t="str">
        <f>IF(Prüfungsliste!$F13&lt;&gt;"",VLOOKUP(Prüfungsliste!$F13,nstGrad,IF(A13,3,2),FALSE),"")</f>
        <v/>
      </c>
      <c r="C13" t="b">
        <f>IF(Prüfungsliste!G13&lt;&gt;"",OR(VLOOKUP(Prüfungsliste!G13,nst,3,FALSE)="",VLOOKUP(Prüfungsliste!G13,nst,3,FALSE)&gt;=DATE(YEAR(Prüfungsliste!D13),MONTH(Prüfungsliste!D13),DAY(Prüfungsliste!D13)-C$2)),TRUE)</f>
        <v>1</v>
      </c>
      <c r="D13" t="str">
        <f t="shared" si="1"/>
        <v/>
      </c>
      <c r="E13" t="b">
        <f>IF(Prüfungsliste!G13&lt;&gt;"",OR(VLOOKUP(Prüfungsliste!G13,nst,5,FALSE)="",VLOOKUP(Prüfungsliste!G13,nst,5,FALSE)&gt;=DATE(YEAR(Prüfungsliste!E13),MONTH(Prüfungsliste!E13),DAY(Prüfungsliste!E13)-D13)),TRUE)</f>
        <v>1</v>
      </c>
      <c r="F13" t="str">
        <f>IF(Prüfungsliste!G13&lt;&gt;"",
  VLOOKUP(ZE!T13,pli,37,FALSE),
 "")</f>
        <v/>
      </c>
      <c r="G13" t="str">
        <f>IF(Prüfungsliste!G13&lt;&gt;"",
 IF(Prüfungsliste!AQ13=2,
  VLOOKUP(ZE!T13,pli,39,FALSE)*2,
  VLOOKUP(ZE!T13,pli,39,FALSE)),
 "")</f>
        <v/>
      </c>
      <c r="H13" t="b">
        <f>IF(Prüfungsliste!G13&lt;&gt;"",
 OR( ZE!F13=COUNT(Prüfungsliste!M13,Prüfungsliste!S13,Prüfungsliste!AA13,Prüfungsliste!AD13,Prüfungsliste!AH13,Prüfungsliste!AK13,Prüfungsliste!AL13),
  ZE!N13),
 FALSE)</f>
        <v>0</v>
      </c>
      <c r="I13" t="b">
        <f>IF(Prüfungsliste!G13&lt;&gt;"",AND(H13,IF(Prüfungsliste!AQ13=1,TRUE,IF(Prüfungsliste!AQ13=2,Prüfungsliste!AT13&gt;0,IF(Prüfungsliste!AQ13=3,AND(Prüfungsliste!AU13&lt;&gt;"",Prüfungsliste!AV13&lt;&gt;""),FALSE)))),FALSE)</f>
        <v>0</v>
      </c>
      <c r="J13" t="b">
        <f>IF(Prüfungsliste!AQ13=2,
 TRUE,
 AND(NOT(N13),
  Prüfungsliste!AS13&gt;=G13))</f>
        <v>1</v>
      </c>
      <c r="K13" t="b">
        <f>IF(Prüfungsliste!AQ13=1,
 J13,
 IF(Prüfungsliste!AQ13=2,
  Prüfungsliste!AT13+Prüfungsliste!AS13&gt;=G13,
  IF(Prüfungsliste!AQ13=3,
   IF(J13,1,0)+IF(Prüfungsliste!AU13="B",1,0)+IF(Prüfungsliste!AV13="B",1,0)&gt;=2,
   FALSE)))</f>
        <v>0</v>
      </c>
      <c r="L13" t="b">
        <f>IF(OR(Prüfungsliste!AQ13=1,Prüfungsliste!AQ13=3),OR(Prüfungsliste!M13=1,Prüfungsliste!S13=1,Prüfungsliste!AA13=1,Prüfungsliste!AD13=1,Prüfungsliste!AH13=1,Prüfungsliste!AK13=1,Prüfungsliste!AL13=1),
 FALSE)</f>
        <v>0</v>
      </c>
      <c r="M13" t="b">
        <f>IF( Prüfungsliste!AL13&lt;&gt;"",
  OR( AND( Prüfungsliste!AL13&lt;=2,
    OR(Prüfungsliste!AU13="NB",Prüfungsliste!AV13="NB")
   ),
   AND( Prüfungsliste!AU13="NB",Prüfungsliste!AV13="NB")
  ),
  FALSE)</f>
        <v>0</v>
      </c>
      <c r="N13" t="b">
        <f>OR(ZE!L13,ZE!M13)</f>
        <v>0</v>
      </c>
      <c r="O13" t="str">
        <f>IF(Prüfungsliste!D13&lt;&gt;"",YEARFRAC(PTag,Prüfungsliste!D13),"")</f>
        <v/>
      </c>
      <c r="P13" t="str">
        <f t="shared" si="0"/>
        <v/>
      </c>
      <c r="Q13" t="str">
        <f>Prüfungsliste!G13&amp;P13&amp;Prüfungsliste!AX13</f>
        <v/>
      </c>
      <c r="R13" t="str">
        <f>IF(Prüfungsliste!G13&lt;&gt;"",VLOOKUP(Prüfungsliste!G13,nst,11,FALSE),"")</f>
        <v/>
      </c>
      <c r="S13" t="str">
        <f t="shared" si="2"/>
        <v>E</v>
      </c>
      <c r="T13" t="str">
        <f>Prüfungsliste!G13 &amp; ZE!S13</f>
        <v>E</v>
      </c>
      <c r="Z13" t="str">
        <f>IF(Prüfungsliste!B13&lt;&gt;"",TRIM(IF(FIND(",",Prüfungsliste!B13&amp;",",1)&lt;LEN(Prüfungsliste!B13)+1,RIGHT(Prüfungsliste!B13,LEN(Prüfungsliste!B13)-FIND(",",Prüfungsliste!B13,1))&amp;" "&amp;LEFT(Prüfungsliste!B13,FIND(",",Prüfungsliste!B13,1)-1),Prüfungsliste!B13)),"")</f>
        <v/>
      </c>
      <c r="AA13" t="b">
        <f>OR(Prüfungsliste!AX13="B",Prüfungsliste!AX13="")</f>
        <v>1</v>
      </c>
    </row>
    <row r="14" spans="1:27" x14ac:dyDescent="0.2">
      <c r="A14" s="7" t="b">
        <f ca="1">AND(Prüfungsliste!D14&lt;&gt;"",YEARFRAC(Prüfungsliste!D14,PTag)&lt;=Kinderprüfungsgrenze)</f>
        <v>0</v>
      </c>
      <c r="B14" s="8" t="str">
        <f>IF(Prüfungsliste!$F14&lt;&gt;"",VLOOKUP(Prüfungsliste!$F14,nstGrad,IF(A14,3,2),FALSE),"")</f>
        <v/>
      </c>
      <c r="C14" t="b">
        <f>IF(Prüfungsliste!G14&lt;&gt;"",OR(VLOOKUP(Prüfungsliste!G14,nst,3,FALSE)="",VLOOKUP(Prüfungsliste!G14,nst,3,FALSE)&gt;=DATE(YEAR(Prüfungsliste!D14),MONTH(Prüfungsliste!D14),DAY(Prüfungsliste!D14)-C$2)),TRUE)</f>
        <v>1</v>
      </c>
      <c r="D14" t="str">
        <f t="shared" si="1"/>
        <v/>
      </c>
      <c r="E14" t="b">
        <f>IF(Prüfungsliste!G14&lt;&gt;"",OR(VLOOKUP(Prüfungsliste!G14,nst,5,FALSE)="",VLOOKUP(Prüfungsliste!G14,nst,5,FALSE)&gt;=DATE(YEAR(Prüfungsliste!E14),MONTH(Prüfungsliste!E14),DAY(Prüfungsliste!E14)-D14)),TRUE)</f>
        <v>1</v>
      </c>
      <c r="F14" t="str">
        <f>IF(Prüfungsliste!G14&lt;&gt;"",
  VLOOKUP(ZE!T14,pli,37,FALSE),
 "")</f>
        <v/>
      </c>
      <c r="G14" t="str">
        <f>IF(Prüfungsliste!G14&lt;&gt;"",
 IF(Prüfungsliste!AQ14=2,
  VLOOKUP(ZE!T14,pli,39,FALSE)*2,
  VLOOKUP(ZE!T14,pli,39,FALSE)),
 "")</f>
        <v/>
      </c>
      <c r="H14" t="b">
        <f>IF(Prüfungsliste!G14&lt;&gt;"",
 OR( ZE!F14=COUNT(Prüfungsliste!M14,Prüfungsliste!S14,Prüfungsliste!AA14,Prüfungsliste!AD14,Prüfungsliste!AH14,Prüfungsliste!AK14,Prüfungsliste!AL14),
  ZE!N14),
 FALSE)</f>
        <v>0</v>
      </c>
      <c r="I14" t="b">
        <f>IF(Prüfungsliste!G14&lt;&gt;"",AND(H14,IF(Prüfungsliste!AQ14=1,TRUE,IF(Prüfungsliste!AQ14=2,Prüfungsliste!AT14&gt;0,IF(Prüfungsliste!AQ14=3,AND(Prüfungsliste!AU14&lt;&gt;"",Prüfungsliste!AV14&lt;&gt;""),FALSE)))),FALSE)</f>
        <v>0</v>
      </c>
      <c r="J14" t="b">
        <f>IF(Prüfungsliste!AQ14=2,
 TRUE,
 AND(NOT(N14),
  Prüfungsliste!AS14&gt;=G14))</f>
        <v>1</v>
      </c>
      <c r="K14" t="b">
        <f>IF(Prüfungsliste!AQ14=1,
 J14,
 IF(Prüfungsliste!AQ14=2,
  Prüfungsliste!AT14+Prüfungsliste!AS14&gt;=G14,
  IF(Prüfungsliste!AQ14=3,
   IF(J14,1,0)+IF(Prüfungsliste!AU14="B",1,0)+IF(Prüfungsliste!AV14="B",1,0)&gt;=2,
   FALSE)))</f>
        <v>0</v>
      </c>
      <c r="L14" t="b">
        <f>IF(OR(Prüfungsliste!AQ14=1,Prüfungsliste!AQ14=3),OR(Prüfungsliste!M14=1,Prüfungsliste!S14=1,Prüfungsliste!AA14=1,Prüfungsliste!AD14=1,Prüfungsliste!AH14=1,Prüfungsliste!AK14=1,Prüfungsliste!AL14=1),
 FALSE)</f>
        <v>0</v>
      </c>
      <c r="M14" t="b">
        <f>IF( Prüfungsliste!AL14&lt;&gt;"",
  OR( AND( Prüfungsliste!AL14&lt;=2,
    OR(Prüfungsliste!AU14="NB",Prüfungsliste!AV14="NB")
   ),
   AND( Prüfungsliste!AU14="NB",Prüfungsliste!AV14="NB")
  ),
  FALSE)</f>
        <v>0</v>
      </c>
      <c r="N14" t="b">
        <f>OR(ZE!L14,ZE!M14)</f>
        <v>0</v>
      </c>
      <c r="O14" t="str">
        <f>IF(Prüfungsliste!D14&lt;&gt;"",YEARFRAC(PTag,Prüfungsliste!D14),"")</f>
        <v/>
      </c>
      <c r="P14" t="str">
        <f t="shared" si="0"/>
        <v/>
      </c>
      <c r="Q14" t="str">
        <f>Prüfungsliste!G14&amp;P14&amp;Prüfungsliste!AX14</f>
        <v/>
      </c>
      <c r="R14" t="str">
        <f>IF(Prüfungsliste!G14&lt;&gt;"",VLOOKUP(Prüfungsliste!G14,nst,11,FALSE),"")</f>
        <v/>
      </c>
      <c r="S14" t="str">
        <f t="shared" si="2"/>
        <v>E</v>
      </c>
      <c r="T14" t="str">
        <f>Prüfungsliste!G14 &amp; ZE!S14</f>
        <v>E</v>
      </c>
      <c r="Z14" t="str">
        <f>IF(Prüfungsliste!B14&lt;&gt;"",TRIM(IF(FIND(",",Prüfungsliste!B14&amp;",",1)&lt;LEN(Prüfungsliste!B14)+1,RIGHT(Prüfungsliste!B14,LEN(Prüfungsliste!B14)-FIND(",",Prüfungsliste!B14,1))&amp;" "&amp;LEFT(Prüfungsliste!B14,FIND(",",Prüfungsliste!B14,1)-1),Prüfungsliste!B14)),"")</f>
        <v/>
      </c>
      <c r="AA14" t="b">
        <f>OR(Prüfungsliste!AX14="B",Prüfungsliste!AX14="")</f>
        <v>1</v>
      </c>
    </row>
    <row r="15" spans="1:27" x14ac:dyDescent="0.2">
      <c r="A15" s="7" t="b">
        <f ca="1">AND(Prüfungsliste!D15&lt;&gt;"",YEARFRAC(Prüfungsliste!D15,PTag)&lt;=Kinderprüfungsgrenze)</f>
        <v>0</v>
      </c>
      <c r="B15" s="8" t="str">
        <f>IF(Prüfungsliste!$F15&lt;&gt;"",VLOOKUP(Prüfungsliste!$F15,nstGrad,IF(A15,3,2),FALSE),"")</f>
        <v/>
      </c>
      <c r="C15" t="b">
        <f>IF(Prüfungsliste!G15&lt;&gt;"",OR(VLOOKUP(Prüfungsliste!G15,nst,3,FALSE)="",VLOOKUP(Prüfungsliste!G15,nst,3,FALSE)&gt;=DATE(YEAR(Prüfungsliste!D15),MONTH(Prüfungsliste!D15),DAY(Prüfungsliste!D15)-C$2)),TRUE)</f>
        <v>1</v>
      </c>
      <c r="D15" t="str">
        <f t="shared" si="1"/>
        <v/>
      </c>
      <c r="E15" t="b">
        <f>IF(Prüfungsliste!G15&lt;&gt;"",OR(VLOOKUP(Prüfungsliste!G15,nst,5,FALSE)="",VLOOKUP(Prüfungsliste!G15,nst,5,FALSE)&gt;=DATE(YEAR(Prüfungsliste!E15),MONTH(Prüfungsliste!E15),DAY(Prüfungsliste!E15)-D15)),TRUE)</f>
        <v>1</v>
      </c>
      <c r="F15" t="str">
        <f>IF(Prüfungsliste!G15&lt;&gt;"",
  VLOOKUP(ZE!T15,pli,37,FALSE),
 "")</f>
        <v/>
      </c>
      <c r="G15" t="str">
        <f>IF(Prüfungsliste!G15&lt;&gt;"",
 IF(Prüfungsliste!AQ15=2,
  VLOOKUP(ZE!T15,pli,39,FALSE)*2,
  VLOOKUP(ZE!T15,pli,39,FALSE)),
 "")</f>
        <v/>
      </c>
      <c r="H15" t="b">
        <f>IF(Prüfungsliste!G15&lt;&gt;"",
 OR( ZE!F15=COUNT(Prüfungsliste!M15,Prüfungsliste!S15,Prüfungsliste!AA15,Prüfungsliste!AD15,Prüfungsliste!AH15,Prüfungsliste!AK15,Prüfungsliste!AL15),
  ZE!N15),
 FALSE)</f>
        <v>0</v>
      </c>
      <c r="I15" t="b">
        <f>IF(Prüfungsliste!G15&lt;&gt;"",AND(H15,IF(Prüfungsliste!AQ15=1,TRUE,IF(Prüfungsliste!AQ15=2,Prüfungsliste!AT15&gt;0,IF(Prüfungsliste!AQ15=3,AND(Prüfungsliste!AU15&lt;&gt;"",Prüfungsliste!AV15&lt;&gt;""),FALSE)))),FALSE)</f>
        <v>0</v>
      </c>
      <c r="J15" t="b">
        <f>IF(Prüfungsliste!AQ15=2,
 TRUE,
 AND(NOT(N15),
  Prüfungsliste!AS15&gt;=G15))</f>
        <v>1</v>
      </c>
      <c r="K15" t="b">
        <f>IF(Prüfungsliste!AQ15=1,
 J15,
 IF(Prüfungsliste!AQ15=2,
  Prüfungsliste!AT15+Prüfungsliste!AS15&gt;=G15,
  IF(Prüfungsliste!AQ15=3,
   IF(J15,1,0)+IF(Prüfungsliste!AU15="B",1,0)+IF(Prüfungsliste!AV15="B",1,0)&gt;=2,
   FALSE)))</f>
        <v>0</v>
      </c>
      <c r="L15" t="b">
        <f>IF(OR(Prüfungsliste!AQ15=1,Prüfungsliste!AQ15=3),OR(Prüfungsliste!M15=1,Prüfungsliste!S15=1,Prüfungsliste!AA15=1,Prüfungsliste!AD15=1,Prüfungsliste!AH15=1,Prüfungsliste!AK15=1,Prüfungsliste!AL15=1),
 FALSE)</f>
        <v>0</v>
      </c>
      <c r="M15" t="b">
        <f>IF( Prüfungsliste!AL15&lt;&gt;"",
  OR( AND( Prüfungsliste!AL15&lt;=2,
    OR(Prüfungsliste!AU15="NB",Prüfungsliste!AV15="NB")
   ),
   AND( Prüfungsliste!AU15="NB",Prüfungsliste!AV15="NB")
  ),
  FALSE)</f>
        <v>0</v>
      </c>
      <c r="N15" t="b">
        <f>OR(ZE!L15,ZE!M15)</f>
        <v>0</v>
      </c>
      <c r="O15" t="str">
        <f>IF(Prüfungsliste!D15&lt;&gt;"",YEARFRAC(PTag,Prüfungsliste!D15),"")</f>
        <v/>
      </c>
      <c r="P15" t="str">
        <f t="shared" si="0"/>
        <v/>
      </c>
      <c r="Q15" t="str">
        <f>Prüfungsliste!G15&amp;P15&amp;Prüfungsliste!AX15</f>
        <v/>
      </c>
      <c r="R15" t="str">
        <f>IF(Prüfungsliste!G15&lt;&gt;"",VLOOKUP(Prüfungsliste!G15,nst,11,FALSE),"")</f>
        <v/>
      </c>
      <c r="S15" t="str">
        <f t="shared" si="2"/>
        <v>E</v>
      </c>
      <c r="T15" t="str">
        <f>Prüfungsliste!G15 &amp; ZE!S15</f>
        <v>E</v>
      </c>
      <c r="Z15" t="str">
        <f>IF(Prüfungsliste!B15&lt;&gt;"",TRIM(IF(FIND(",",Prüfungsliste!B15&amp;",",1)&lt;LEN(Prüfungsliste!B15)+1,RIGHT(Prüfungsliste!B15,LEN(Prüfungsliste!B15)-FIND(",",Prüfungsliste!B15,1))&amp;" "&amp;LEFT(Prüfungsliste!B15,FIND(",",Prüfungsliste!B15,1)-1),Prüfungsliste!B15)),"")</f>
        <v/>
      </c>
      <c r="AA15" t="b">
        <f>OR(Prüfungsliste!AX15="B",Prüfungsliste!AX15="")</f>
        <v>1</v>
      </c>
    </row>
    <row r="16" spans="1:27" x14ac:dyDescent="0.2">
      <c r="A16" s="7" t="b">
        <f ca="1">AND(Prüfungsliste!D16&lt;&gt;"",YEARFRAC(Prüfungsliste!D16,PTag)&lt;=Kinderprüfungsgrenze)</f>
        <v>0</v>
      </c>
      <c r="B16" s="8" t="str">
        <f>IF(Prüfungsliste!$F16&lt;&gt;"",VLOOKUP(Prüfungsliste!$F16,nstGrad,IF(A16,3,2),FALSE),"")</f>
        <v/>
      </c>
      <c r="C16" t="b">
        <f>IF(Prüfungsliste!G16&lt;&gt;"",OR(VLOOKUP(Prüfungsliste!G16,nst,3,FALSE)="",VLOOKUP(Prüfungsliste!G16,nst,3,FALSE)&gt;=DATE(YEAR(Prüfungsliste!D16),MONTH(Prüfungsliste!D16),DAY(Prüfungsliste!D16)-C$2)),TRUE)</f>
        <v>1</v>
      </c>
      <c r="D16" t="str">
        <f t="shared" si="1"/>
        <v/>
      </c>
      <c r="E16" t="b">
        <f>IF(Prüfungsliste!G16&lt;&gt;"",OR(VLOOKUP(Prüfungsliste!G16,nst,5,FALSE)="",VLOOKUP(Prüfungsliste!G16,nst,5,FALSE)&gt;=DATE(YEAR(Prüfungsliste!E16),MONTH(Prüfungsliste!E16),DAY(Prüfungsliste!E16)-D16)),TRUE)</f>
        <v>1</v>
      </c>
      <c r="F16" t="str">
        <f>IF(Prüfungsliste!G16&lt;&gt;"",
  VLOOKUP(ZE!T16,pli,37,FALSE),
 "")</f>
        <v/>
      </c>
      <c r="G16" t="str">
        <f>IF(Prüfungsliste!G16&lt;&gt;"",
 IF(Prüfungsliste!AQ16=2,
  VLOOKUP(ZE!T16,pli,39,FALSE)*2,
  VLOOKUP(ZE!T16,pli,39,FALSE)),
 "")</f>
        <v/>
      </c>
      <c r="H16" t="b">
        <f>IF(Prüfungsliste!G16&lt;&gt;"",
 OR( ZE!F16=COUNT(Prüfungsliste!M16,Prüfungsliste!S16,Prüfungsliste!AA16,Prüfungsliste!AD16,Prüfungsliste!AH16,Prüfungsliste!AK16,Prüfungsliste!AL16),
  ZE!N16),
 FALSE)</f>
        <v>0</v>
      </c>
      <c r="I16" t="b">
        <f>IF(Prüfungsliste!G16&lt;&gt;"",AND(H16,IF(Prüfungsliste!AQ16=1,TRUE,IF(Prüfungsliste!AQ16=2,Prüfungsliste!AT16&gt;0,IF(Prüfungsliste!AQ16=3,AND(Prüfungsliste!AU16&lt;&gt;"",Prüfungsliste!AV16&lt;&gt;""),FALSE)))),FALSE)</f>
        <v>0</v>
      </c>
      <c r="J16" t="b">
        <f>IF(Prüfungsliste!AQ16=2,
 TRUE,
 AND(NOT(N16),
  Prüfungsliste!AS16&gt;=G16))</f>
        <v>1</v>
      </c>
      <c r="K16" t="b">
        <f>IF(Prüfungsliste!AQ16=1,
 J16,
 IF(Prüfungsliste!AQ16=2,
  Prüfungsliste!AT16+Prüfungsliste!AS16&gt;=G16,
  IF(Prüfungsliste!AQ16=3,
   IF(J16,1,0)+IF(Prüfungsliste!AU16="B",1,0)+IF(Prüfungsliste!AV16="B",1,0)&gt;=2,
   FALSE)))</f>
        <v>0</v>
      </c>
      <c r="L16" t="b">
        <f>IF(OR(Prüfungsliste!AQ16=1,Prüfungsliste!AQ16=3),OR(Prüfungsliste!M16=1,Prüfungsliste!S16=1,Prüfungsliste!AA16=1,Prüfungsliste!AD16=1,Prüfungsliste!AH16=1,Prüfungsliste!AK16=1,Prüfungsliste!AL16=1),
 FALSE)</f>
        <v>0</v>
      </c>
      <c r="M16" t="b">
        <f>IF( Prüfungsliste!AL16&lt;&gt;"",
  OR( AND( Prüfungsliste!AL16&lt;=2,
    OR(Prüfungsliste!AU16="NB",Prüfungsliste!AV16="NB")
   ),
   AND( Prüfungsliste!AU16="NB",Prüfungsliste!AV16="NB")
  ),
  FALSE)</f>
        <v>0</v>
      </c>
      <c r="N16" t="b">
        <f>OR(ZE!L16,ZE!M16)</f>
        <v>0</v>
      </c>
      <c r="O16" t="str">
        <f>IF(Prüfungsliste!D16&lt;&gt;"",YEARFRAC(PTag,Prüfungsliste!D16),"")</f>
        <v/>
      </c>
      <c r="P16" t="str">
        <f t="shared" si="0"/>
        <v/>
      </c>
      <c r="Q16" t="str">
        <f>Prüfungsliste!G16&amp;P16&amp;Prüfungsliste!AX16</f>
        <v/>
      </c>
      <c r="R16" t="str">
        <f>IF(Prüfungsliste!G16&lt;&gt;"",VLOOKUP(Prüfungsliste!G16,nst,11,FALSE),"")</f>
        <v/>
      </c>
      <c r="S16" t="str">
        <f t="shared" si="2"/>
        <v>E</v>
      </c>
      <c r="T16" t="str">
        <f>Prüfungsliste!G16 &amp; ZE!S16</f>
        <v>E</v>
      </c>
      <c r="Z16" t="str">
        <f>IF(Prüfungsliste!B16&lt;&gt;"",TRIM(IF(FIND(",",Prüfungsliste!B16&amp;",",1)&lt;LEN(Prüfungsliste!B16)+1,RIGHT(Prüfungsliste!B16,LEN(Prüfungsliste!B16)-FIND(",",Prüfungsliste!B16,1))&amp;" "&amp;LEFT(Prüfungsliste!B16,FIND(",",Prüfungsliste!B16,1)-1),Prüfungsliste!B16)),"")</f>
        <v/>
      </c>
      <c r="AA16" t="b">
        <f>OR(Prüfungsliste!AX16="B",Prüfungsliste!AX16="")</f>
        <v>1</v>
      </c>
    </row>
    <row r="17" spans="1:27" x14ac:dyDescent="0.2">
      <c r="A17" s="7" t="b">
        <f ca="1">AND(Prüfungsliste!D17&lt;&gt;"",YEARFRAC(Prüfungsliste!D17,PTag)&lt;=Kinderprüfungsgrenze)</f>
        <v>0</v>
      </c>
      <c r="B17" s="8" t="str">
        <f>IF(Prüfungsliste!$F17&lt;&gt;"",VLOOKUP(Prüfungsliste!$F17,nstGrad,IF(A17,3,2),FALSE),"")</f>
        <v/>
      </c>
      <c r="C17" t="b">
        <f>IF(Prüfungsliste!G17&lt;&gt;"",OR(VLOOKUP(Prüfungsliste!G17,nst,3,FALSE)="",VLOOKUP(Prüfungsliste!G17,nst,3,FALSE)&gt;=DATE(YEAR(Prüfungsliste!D17),MONTH(Prüfungsliste!D17),DAY(Prüfungsliste!D17)-C$2)),TRUE)</f>
        <v>1</v>
      </c>
      <c r="D17" t="str">
        <f t="shared" si="1"/>
        <v/>
      </c>
      <c r="E17" t="b">
        <f>IF(Prüfungsliste!G17&lt;&gt;"",OR(VLOOKUP(Prüfungsliste!G17,nst,5,FALSE)="",VLOOKUP(Prüfungsliste!G17,nst,5,FALSE)&gt;=DATE(YEAR(Prüfungsliste!E17),MONTH(Prüfungsliste!E17),DAY(Prüfungsliste!E17)-D17)),TRUE)</f>
        <v>1</v>
      </c>
      <c r="F17" t="str">
        <f>IF(Prüfungsliste!G17&lt;&gt;"",
  VLOOKUP(ZE!T17,pli,37,FALSE),
 "")</f>
        <v/>
      </c>
      <c r="G17" t="str">
        <f>IF(Prüfungsliste!G17&lt;&gt;"",
 IF(Prüfungsliste!AQ17=2,
  VLOOKUP(ZE!T17,pli,39,FALSE)*2,
  VLOOKUP(ZE!T17,pli,39,FALSE)),
 "")</f>
        <v/>
      </c>
      <c r="H17" t="b">
        <f>IF(Prüfungsliste!G17&lt;&gt;"",
 OR( ZE!F17=COUNT(Prüfungsliste!M17,Prüfungsliste!S17,Prüfungsliste!AA17,Prüfungsliste!AD17,Prüfungsliste!AH17,Prüfungsliste!AK17,Prüfungsliste!AL17),
  ZE!N17),
 FALSE)</f>
        <v>0</v>
      </c>
      <c r="I17" t="b">
        <f>IF(Prüfungsliste!G17&lt;&gt;"",AND(H17,IF(Prüfungsliste!AQ17=1,TRUE,IF(Prüfungsliste!AQ17=2,Prüfungsliste!AT17&gt;0,IF(Prüfungsliste!AQ17=3,AND(Prüfungsliste!AU17&lt;&gt;"",Prüfungsliste!AV17&lt;&gt;""),FALSE)))),FALSE)</f>
        <v>0</v>
      </c>
      <c r="J17" t="b">
        <f>IF(Prüfungsliste!AQ17=2,
 TRUE,
 AND(NOT(N17),
  Prüfungsliste!AS17&gt;=G17))</f>
        <v>1</v>
      </c>
      <c r="K17" t="b">
        <f>IF(Prüfungsliste!AQ17=1,
 J17,
 IF(Prüfungsliste!AQ17=2,
  Prüfungsliste!AT17+Prüfungsliste!AS17&gt;=G17,
  IF(Prüfungsliste!AQ17=3,
   IF(J17,1,0)+IF(Prüfungsliste!AU17="B",1,0)+IF(Prüfungsliste!AV17="B",1,0)&gt;=2,
   FALSE)))</f>
        <v>0</v>
      </c>
      <c r="L17" t="b">
        <f>IF(OR(Prüfungsliste!AQ17=1,Prüfungsliste!AQ17=3),OR(Prüfungsliste!M17=1,Prüfungsliste!S17=1,Prüfungsliste!AA17=1,Prüfungsliste!AD17=1,Prüfungsliste!AH17=1,Prüfungsliste!AK17=1,Prüfungsliste!AL17=1),
 FALSE)</f>
        <v>0</v>
      </c>
      <c r="M17" t="b">
        <f>IF( Prüfungsliste!AL17&lt;&gt;"",
  OR( AND( Prüfungsliste!AL17&lt;=2,
    OR(Prüfungsliste!AU17="NB",Prüfungsliste!AV17="NB")
   ),
   AND( Prüfungsliste!AU17="NB",Prüfungsliste!AV17="NB")
  ),
  FALSE)</f>
        <v>0</v>
      </c>
      <c r="N17" t="b">
        <f>OR(ZE!L17,ZE!M17)</f>
        <v>0</v>
      </c>
      <c r="O17" t="str">
        <f>IF(Prüfungsliste!D17&lt;&gt;"",YEARFRAC(PTag,Prüfungsliste!D17),"")</f>
        <v/>
      </c>
      <c r="P17" t="str">
        <f t="shared" si="0"/>
        <v/>
      </c>
      <c r="Q17" t="str">
        <f>Prüfungsliste!G17&amp;P17&amp;Prüfungsliste!AX17</f>
        <v/>
      </c>
      <c r="R17" t="str">
        <f>IF(Prüfungsliste!G17&lt;&gt;"",VLOOKUP(Prüfungsliste!G17,nst,11,FALSE),"")</f>
        <v/>
      </c>
      <c r="S17" t="str">
        <f t="shared" si="2"/>
        <v>E</v>
      </c>
      <c r="T17" t="str">
        <f>Prüfungsliste!G17 &amp; ZE!S17</f>
        <v>E</v>
      </c>
      <c r="Z17" t="str">
        <f>IF(Prüfungsliste!B17&lt;&gt;"",TRIM(IF(FIND(",",Prüfungsliste!B17&amp;",",1)&lt;LEN(Prüfungsliste!B17)+1,RIGHT(Prüfungsliste!B17,LEN(Prüfungsliste!B17)-FIND(",",Prüfungsliste!B17,1))&amp;" "&amp;LEFT(Prüfungsliste!B17,FIND(",",Prüfungsliste!B17,1)-1),Prüfungsliste!B17)),"")</f>
        <v/>
      </c>
      <c r="AA17" t="b">
        <f>OR(Prüfungsliste!AX17="B",Prüfungsliste!AX17="")</f>
        <v>1</v>
      </c>
    </row>
    <row r="18" spans="1:27" x14ac:dyDescent="0.2">
      <c r="A18" s="7" t="b">
        <f ca="1">AND(Prüfungsliste!D18&lt;&gt;"",YEARFRAC(Prüfungsliste!D18,PTag)&lt;=Kinderprüfungsgrenze)</f>
        <v>0</v>
      </c>
      <c r="B18" s="8" t="str">
        <f>IF(Prüfungsliste!$F18&lt;&gt;"",VLOOKUP(Prüfungsliste!$F18,nstGrad,IF(A18,3,2),FALSE),"")</f>
        <v/>
      </c>
      <c r="C18" t="b">
        <f>IF(Prüfungsliste!G18&lt;&gt;"",OR(VLOOKUP(Prüfungsliste!G18,nst,3,FALSE)="",VLOOKUP(Prüfungsliste!G18,nst,3,FALSE)&gt;=DATE(YEAR(Prüfungsliste!D18),MONTH(Prüfungsliste!D18),DAY(Prüfungsliste!D18)-C$2)),TRUE)</f>
        <v>1</v>
      </c>
      <c r="D18" t="str">
        <f t="shared" si="1"/>
        <v/>
      </c>
      <c r="E18" t="b">
        <f>IF(Prüfungsliste!G18&lt;&gt;"",OR(VLOOKUP(Prüfungsliste!G18,nst,5,FALSE)="",VLOOKUP(Prüfungsliste!G18,nst,5,FALSE)&gt;=DATE(YEAR(Prüfungsliste!E18),MONTH(Prüfungsliste!E18),DAY(Prüfungsliste!E18)-D18)),TRUE)</f>
        <v>1</v>
      </c>
      <c r="F18" t="str">
        <f>IF(Prüfungsliste!G18&lt;&gt;"",
  VLOOKUP(ZE!T18,pli,37,FALSE),
 "")</f>
        <v/>
      </c>
      <c r="G18" t="str">
        <f>IF(Prüfungsliste!G18&lt;&gt;"",
 IF(Prüfungsliste!AQ18=2,
  VLOOKUP(ZE!T18,pli,39,FALSE)*2,
  VLOOKUP(ZE!T18,pli,39,FALSE)),
 "")</f>
        <v/>
      </c>
      <c r="H18" t="b">
        <f>IF(Prüfungsliste!G18&lt;&gt;"",
 OR( ZE!F18=COUNT(Prüfungsliste!M18,Prüfungsliste!S18,Prüfungsliste!AA18,Prüfungsliste!AD18,Prüfungsliste!AH18,Prüfungsliste!AK18,Prüfungsliste!AL18),
  ZE!N18),
 FALSE)</f>
        <v>0</v>
      </c>
      <c r="I18" t="b">
        <f>IF(Prüfungsliste!G18&lt;&gt;"",AND(H18,IF(Prüfungsliste!AQ18=1,TRUE,IF(Prüfungsliste!AQ18=2,Prüfungsliste!AT18&gt;0,IF(Prüfungsliste!AQ18=3,AND(Prüfungsliste!AU18&lt;&gt;"",Prüfungsliste!AV18&lt;&gt;""),FALSE)))),FALSE)</f>
        <v>0</v>
      </c>
      <c r="J18" t="b">
        <f>IF(Prüfungsliste!AQ18=2,
 TRUE,
 AND(NOT(N18),
  Prüfungsliste!AS18&gt;=G18))</f>
        <v>1</v>
      </c>
      <c r="K18" t="b">
        <f>IF(Prüfungsliste!AQ18=1,
 J18,
 IF(Prüfungsliste!AQ18=2,
  Prüfungsliste!AT18+Prüfungsliste!AS18&gt;=G18,
  IF(Prüfungsliste!AQ18=3,
   IF(J18,1,0)+IF(Prüfungsliste!AU18="B",1,0)+IF(Prüfungsliste!AV18="B",1,0)&gt;=2,
   FALSE)))</f>
        <v>0</v>
      </c>
      <c r="L18" t="b">
        <f>IF(OR(Prüfungsliste!AQ18=1,Prüfungsliste!AQ18=3),OR(Prüfungsliste!M18=1,Prüfungsliste!S18=1,Prüfungsliste!AA18=1,Prüfungsliste!AD18=1,Prüfungsliste!AH18=1,Prüfungsliste!AK18=1,Prüfungsliste!AL18=1),
 FALSE)</f>
        <v>0</v>
      </c>
      <c r="M18" t="b">
        <f>IF( Prüfungsliste!AL18&lt;&gt;"",
  OR( AND( Prüfungsliste!AL18&lt;=2,
    OR(Prüfungsliste!AU18="NB",Prüfungsliste!AV18="NB")
   ),
   AND( Prüfungsliste!AU18="NB",Prüfungsliste!AV18="NB")
  ),
  FALSE)</f>
        <v>0</v>
      </c>
      <c r="N18" t="b">
        <f>OR(ZE!L18,ZE!M18)</f>
        <v>0</v>
      </c>
      <c r="O18" t="str">
        <f>IF(Prüfungsliste!D18&lt;&gt;"",YEARFRAC(PTag,Prüfungsliste!D18),"")</f>
        <v/>
      </c>
      <c r="P18" t="str">
        <f t="shared" si="0"/>
        <v/>
      </c>
      <c r="Q18" t="str">
        <f>Prüfungsliste!G18&amp;P18&amp;Prüfungsliste!AX18</f>
        <v/>
      </c>
      <c r="R18" t="str">
        <f>IF(Prüfungsliste!G18&lt;&gt;"",VLOOKUP(Prüfungsliste!G18,nst,11,FALSE),"")</f>
        <v/>
      </c>
      <c r="S18" t="str">
        <f t="shared" si="2"/>
        <v>E</v>
      </c>
      <c r="T18" t="str">
        <f>Prüfungsliste!G18 &amp; ZE!S18</f>
        <v>E</v>
      </c>
      <c r="Z18" t="str">
        <f>IF(Prüfungsliste!B18&lt;&gt;"",TRIM(IF(FIND(",",Prüfungsliste!B18&amp;",",1)&lt;LEN(Prüfungsliste!B18)+1,RIGHT(Prüfungsliste!B18,LEN(Prüfungsliste!B18)-FIND(",",Prüfungsliste!B18,1))&amp;" "&amp;LEFT(Prüfungsliste!B18,FIND(",",Prüfungsliste!B18,1)-1),Prüfungsliste!B18)),"")</f>
        <v/>
      </c>
      <c r="AA18" t="b">
        <f>OR(Prüfungsliste!AX18="B",Prüfungsliste!AX18="")</f>
        <v>1</v>
      </c>
    </row>
    <row r="19" spans="1:27" x14ac:dyDescent="0.2">
      <c r="A19" s="7" t="b">
        <f ca="1">AND(Prüfungsliste!D19&lt;&gt;"",YEARFRAC(Prüfungsliste!D19,PTag)&lt;=Kinderprüfungsgrenze)</f>
        <v>0</v>
      </c>
      <c r="B19" s="8" t="str">
        <f>IF(Prüfungsliste!$F19&lt;&gt;"",VLOOKUP(Prüfungsliste!$F19,nstGrad,IF(A19,3,2),FALSE),"")</f>
        <v/>
      </c>
      <c r="C19" t="b">
        <f>IF(Prüfungsliste!G19&lt;&gt;"",OR(VLOOKUP(Prüfungsliste!G19,nst,3,FALSE)="",VLOOKUP(Prüfungsliste!G19,nst,3,FALSE)&gt;=DATE(YEAR(Prüfungsliste!D19),MONTH(Prüfungsliste!D19),DAY(Prüfungsliste!D19)-C$2)),TRUE)</f>
        <v>1</v>
      </c>
      <c r="D19" t="str">
        <f t="shared" si="1"/>
        <v/>
      </c>
      <c r="E19" t="b">
        <f>IF(Prüfungsliste!G19&lt;&gt;"",OR(VLOOKUP(Prüfungsliste!G19,nst,5,FALSE)="",VLOOKUP(Prüfungsliste!G19,nst,5,FALSE)&gt;=DATE(YEAR(Prüfungsliste!E19),MONTH(Prüfungsliste!E19),DAY(Prüfungsliste!E19)-D19)),TRUE)</f>
        <v>1</v>
      </c>
      <c r="F19" t="str">
        <f>IF(Prüfungsliste!G19&lt;&gt;"",
  VLOOKUP(ZE!T19,pli,37,FALSE),
 "")</f>
        <v/>
      </c>
      <c r="G19" t="str">
        <f>IF(Prüfungsliste!G19&lt;&gt;"",
 IF(Prüfungsliste!AQ19=2,
  VLOOKUP(ZE!T19,pli,39,FALSE)*2,
  VLOOKUP(ZE!T19,pli,39,FALSE)),
 "")</f>
        <v/>
      </c>
      <c r="H19" t="b">
        <f>IF(Prüfungsliste!G19&lt;&gt;"",
 OR( ZE!F19=COUNT(Prüfungsliste!M19,Prüfungsliste!S19,Prüfungsliste!AA19,Prüfungsliste!AD19,Prüfungsliste!AH19,Prüfungsliste!AK19,Prüfungsliste!AL19),
  ZE!N19),
 FALSE)</f>
        <v>0</v>
      </c>
      <c r="I19" t="b">
        <f>IF(Prüfungsliste!G19&lt;&gt;"",AND(H19,IF(Prüfungsliste!AQ19=1,TRUE,IF(Prüfungsliste!AQ19=2,Prüfungsliste!AT19&gt;0,IF(Prüfungsliste!AQ19=3,AND(Prüfungsliste!AU19&lt;&gt;"",Prüfungsliste!AV19&lt;&gt;""),FALSE)))),FALSE)</f>
        <v>0</v>
      </c>
      <c r="J19" t="b">
        <f>IF(Prüfungsliste!AQ19=2,
 TRUE,
 AND(NOT(N19),
  Prüfungsliste!AS19&gt;=G19))</f>
        <v>1</v>
      </c>
      <c r="K19" t="b">
        <f>IF(Prüfungsliste!AQ19=1,
 J19,
 IF(Prüfungsliste!AQ19=2,
  Prüfungsliste!AT19+Prüfungsliste!AS19&gt;=G19,
  IF(Prüfungsliste!AQ19=3,
   IF(J19,1,0)+IF(Prüfungsliste!AU19="B",1,0)+IF(Prüfungsliste!AV19="B",1,0)&gt;=2,
   FALSE)))</f>
        <v>0</v>
      </c>
      <c r="L19" t="b">
        <f>IF(OR(Prüfungsliste!AQ19=1,Prüfungsliste!AQ19=3),OR(Prüfungsliste!M19=1,Prüfungsliste!S19=1,Prüfungsliste!AA19=1,Prüfungsliste!AD19=1,Prüfungsliste!AH19=1,Prüfungsliste!AK19=1,Prüfungsliste!AL19=1),
 FALSE)</f>
        <v>0</v>
      </c>
      <c r="M19" t="b">
        <f>IF( Prüfungsliste!AL19&lt;&gt;"",
  OR( AND( Prüfungsliste!AL19&lt;=2,
    OR(Prüfungsliste!AU19="NB",Prüfungsliste!AV19="NB")
   ),
   AND( Prüfungsliste!AU19="NB",Prüfungsliste!AV19="NB")
  ),
  FALSE)</f>
        <v>0</v>
      </c>
      <c r="N19" t="b">
        <f>OR(ZE!L19,ZE!M19)</f>
        <v>0</v>
      </c>
      <c r="O19" t="str">
        <f>IF(Prüfungsliste!D19&lt;&gt;"",YEARFRAC(PTag,Prüfungsliste!D19),"")</f>
        <v/>
      </c>
      <c r="P19" t="str">
        <f t="shared" si="0"/>
        <v/>
      </c>
      <c r="Q19" t="str">
        <f>Prüfungsliste!G19&amp;P19&amp;Prüfungsliste!AX19</f>
        <v/>
      </c>
      <c r="R19" t="str">
        <f>IF(Prüfungsliste!G19&lt;&gt;"",VLOOKUP(Prüfungsliste!G19,nst,11,FALSE),"")</f>
        <v/>
      </c>
      <c r="S19" t="str">
        <f t="shared" si="2"/>
        <v>E</v>
      </c>
      <c r="T19" t="str">
        <f>Prüfungsliste!G19 &amp; ZE!S19</f>
        <v>E</v>
      </c>
      <c r="Z19" t="str">
        <f>IF(Prüfungsliste!B19&lt;&gt;"",TRIM(IF(FIND(",",Prüfungsliste!B19&amp;",",1)&lt;LEN(Prüfungsliste!B19)+1,RIGHT(Prüfungsliste!B19,LEN(Prüfungsliste!B19)-FIND(",",Prüfungsliste!B19,1))&amp;" "&amp;LEFT(Prüfungsliste!B19,FIND(",",Prüfungsliste!B19,1)-1),Prüfungsliste!B19)),"")</f>
        <v/>
      </c>
      <c r="AA19" t="b">
        <f>OR(Prüfungsliste!AX19="B",Prüfungsliste!AX19="")</f>
        <v>1</v>
      </c>
    </row>
    <row r="20" spans="1:27" x14ac:dyDescent="0.2">
      <c r="A20" s="7" t="b">
        <f ca="1">AND(Prüfungsliste!D20&lt;&gt;"",YEARFRAC(Prüfungsliste!D20,PTag)&lt;=Kinderprüfungsgrenze)</f>
        <v>0</v>
      </c>
      <c r="B20" s="8" t="str">
        <f>IF(Prüfungsliste!$F20&lt;&gt;"",VLOOKUP(Prüfungsliste!$F20,nstGrad,IF(A20,3,2),FALSE),"")</f>
        <v/>
      </c>
      <c r="C20" t="b">
        <f>IF(Prüfungsliste!G20&lt;&gt;"",OR(VLOOKUP(Prüfungsliste!G20,nst,3,FALSE)="",VLOOKUP(Prüfungsliste!G20,nst,3,FALSE)&gt;=DATE(YEAR(Prüfungsliste!D20),MONTH(Prüfungsliste!D20),DAY(Prüfungsliste!D20)-C$2)),TRUE)</f>
        <v>1</v>
      </c>
      <c r="D20" t="str">
        <f t="shared" si="1"/>
        <v/>
      </c>
      <c r="E20" t="b">
        <f>IF(Prüfungsliste!G20&lt;&gt;"",OR(VLOOKUP(Prüfungsliste!G20,nst,5,FALSE)="",VLOOKUP(Prüfungsliste!G20,nst,5,FALSE)&gt;=DATE(YEAR(Prüfungsliste!E20),MONTH(Prüfungsliste!E20),DAY(Prüfungsliste!E20)-D20)),TRUE)</f>
        <v>1</v>
      </c>
      <c r="F20" t="str">
        <f>IF(Prüfungsliste!G20&lt;&gt;"",
  VLOOKUP(ZE!T20,pli,37,FALSE),
 "")</f>
        <v/>
      </c>
      <c r="G20" t="str">
        <f>IF(Prüfungsliste!G20&lt;&gt;"",
 IF(Prüfungsliste!AQ20=2,
  VLOOKUP(ZE!T20,pli,39,FALSE)*2,
  VLOOKUP(ZE!T20,pli,39,FALSE)),
 "")</f>
        <v/>
      </c>
      <c r="H20" t="b">
        <f>IF(Prüfungsliste!G20&lt;&gt;"",
 OR( ZE!F20=COUNT(Prüfungsliste!M20,Prüfungsliste!S20,Prüfungsliste!AA20,Prüfungsliste!AD20,Prüfungsliste!AH20,Prüfungsliste!AK20,Prüfungsliste!AL20),
  ZE!N20),
 FALSE)</f>
        <v>0</v>
      </c>
      <c r="I20" t="b">
        <f>IF(Prüfungsliste!G20&lt;&gt;"",AND(H20,IF(Prüfungsliste!AQ20=1,TRUE,IF(Prüfungsliste!AQ20=2,Prüfungsliste!AT20&gt;0,IF(Prüfungsliste!AQ20=3,AND(Prüfungsliste!AU20&lt;&gt;"",Prüfungsliste!AV20&lt;&gt;""),FALSE)))),FALSE)</f>
        <v>0</v>
      </c>
      <c r="J20" t="b">
        <f>IF(Prüfungsliste!AQ20=2,
 TRUE,
 AND(NOT(N20),
  Prüfungsliste!AS20&gt;=G20))</f>
        <v>1</v>
      </c>
      <c r="K20" t="b">
        <f>IF(Prüfungsliste!AQ20=1,
 J20,
 IF(Prüfungsliste!AQ20=2,
  Prüfungsliste!AT20+Prüfungsliste!AS20&gt;=G20,
  IF(Prüfungsliste!AQ20=3,
   IF(J20,1,0)+IF(Prüfungsliste!AU20="B",1,0)+IF(Prüfungsliste!AV20="B",1,0)&gt;=2,
   FALSE)))</f>
        <v>0</v>
      </c>
      <c r="L20" t="b">
        <f>IF(OR(Prüfungsliste!AQ20=1,Prüfungsliste!AQ20=3),OR(Prüfungsliste!M20=1,Prüfungsliste!S20=1,Prüfungsliste!AA20=1,Prüfungsliste!AD20=1,Prüfungsliste!AH20=1,Prüfungsliste!AK20=1,Prüfungsliste!AL20=1),
 FALSE)</f>
        <v>0</v>
      </c>
      <c r="M20" t="b">
        <f>IF( Prüfungsliste!AL20&lt;&gt;"",
  OR( AND( Prüfungsliste!AL20&lt;=2,
    OR(Prüfungsliste!AU20="NB",Prüfungsliste!AV20="NB")
   ),
   AND( Prüfungsliste!AU20="NB",Prüfungsliste!AV20="NB")
  ),
  FALSE)</f>
        <v>0</v>
      </c>
      <c r="N20" t="b">
        <f>OR(ZE!L20,ZE!M20)</f>
        <v>0</v>
      </c>
      <c r="O20" t="str">
        <f>IF(Prüfungsliste!D20&lt;&gt;"",YEARFRAC(PTag,Prüfungsliste!D20),"")</f>
        <v/>
      </c>
      <c r="P20" t="str">
        <f t="shared" si="0"/>
        <v/>
      </c>
      <c r="Q20" t="str">
        <f>Prüfungsliste!G20&amp;P20&amp;Prüfungsliste!AX20</f>
        <v/>
      </c>
      <c r="R20" t="str">
        <f>IF(Prüfungsliste!G20&lt;&gt;"",VLOOKUP(Prüfungsliste!G20,nst,11,FALSE),"")</f>
        <v/>
      </c>
      <c r="S20" t="str">
        <f t="shared" si="2"/>
        <v>E</v>
      </c>
      <c r="T20" t="str">
        <f>Prüfungsliste!G20 &amp; ZE!S20</f>
        <v>E</v>
      </c>
      <c r="Z20" t="str">
        <f>IF(Prüfungsliste!B20&lt;&gt;"",TRIM(IF(FIND(",",Prüfungsliste!B20&amp;",",1)&lt;LEN(Prüfungsliste!B20)+1,RIGHT(Prüfungsliste!B20,LEN(Prüfungsliste!B20)-FIND(",",Prüfungsliste!B20,1))&amp;" "&amp;LEFT(Prüfungsliste!B20,FIND(",",Prüfungsliste!B20,1)-1),Prüfungsliste!B20)),"")</f>
        <v/>
      </c>
      <c r="AA20" t="b">
        <f>OR(Prüfungsliste!AX20="B",Prüfungsliste!AX20="")</f>
        <v>1</v>
      </c>
    </row>
    <row r="21" spans="1:27" x14ac:dyDescent="0.2">
      <c r="A21" s="7" t="b">
        <f ca="1">AND(Prüfungsliste!D21&lt;&gt;"",YEARFRAC(Prüfungsliste!D21,PTag)&lt;=Kinderprüfungsgrenze)</f>
        <v>0</v>
      </c>
      <c r="B21" s="8" t="str">
        <f>IF(Prüfungsliste!$F21&lt;&gt;"",VLOOKUP(Prüfungsliste!$F21,nstGrad,IF(A21,3,2),FALSE),"")</f>
        <v/>
      </c>
      <c r="C21" t="b">
        <f>IF(Prüfungsliste!G21&lt;&gt;"",OR(VLOOKUP(Prüfungsliste!G21,nst,3,FALSE)="",VLOOKUP(Prüfungsliste!G21,nst,3,FALSE)&gt;=DATE(YEAR(Prüfungsliste!D21),MONTH(Prüfungsliste!D21),DAY(Prüfungsliste!D21)-C$2)),TRUE)</f>
        <v>1</v>
      </c>
      <c r="D21" t="str">
        <f t="shared" si="1"/>
        <v/>
      </c>
      <c r="E21" t="b">
        <f>IF(Prüfungsliste!G21&lt;&gt;"",OR(VLOOKUP(Prüfungsliste!G21,nst,5,FALSE)="",VLOOKUP(Prüfungsliste!G21,nst,5,FALSE)&gt;=DATE(YEAR(Prüfungsliste!E21),MONTH(Prüfungsliste!E21),DAY(Prüfungsliste!E21)-D21)),TRUE)</f>
        <v>1</v>
      </c>
      <c r="F21" t="str">
        <f>IF(Prüfungsliste!G21&lt;&gt;"",
  VLOOKUP(ZE!T21,pli,37,FALSE),
 "")</f>
        <v/>
      </c>
      <c r="G21" t="str">
        <f>IF(Prüfungsliste!G21&lt;&gt;"",
 IF(Prüfungsliste!AQ21=2,
  VLOOKUP(ZE!T21,pli,39,FALSE)*2,
  VLOOKUP(ZE!T21,pli,39,FALSE)),
 "")</f>
        <v/>
      </c>
      <c r="H21" t="b">
        <f>IF(Prüfungsliste!G21&lt;&gt;"",
 OR( ZE!F21=COUNT(Prüfungsliste!M21,Prüfungsliste!S21,Prüfungsliste!AA21,Prüfungsliste!AD21,Prüfungsliste!AH21,Prüfungsliste!AK21,Prüfungsliste!AL21),
  ZE!N21),
 FALSE)</f>
        <v>0</v>
      </c>
      <c r="I21" t="b">
        <f>IF(Prüfungsliste!G21&lt;&gt;"",AND(H21,IF(Prüfungsliste!AQ21=1,TRUE,IF(Prüfungsliste!AQ21=2,Prüfungsliste!AT21&gt;0,IF(Prüfungsliste!AQ21=3,AND(Prüfungsliste!AU21&lt;&gt;"",Prüfungsliste!AV21&lt;&gt;""),FALSE)))),FALSE)</f>
        <v>0</v>
      </c>
      <c r="J21" t="b">
        <f>IF(Prüfungsliste!AQ21=2,
 TRUE,
 AND(NOT(N21),
  Prüfungsliste!AS21&gt;=G21))</f>
        <v>1</v>
      </c>
      <c r="K21" t="b">
        <f>IF(Prüfungsliste!AQ21=1,
 J21,
 IF(Prüfungsliste!AQ21=2,
  Prüfungsliste!AT21+Prüfungsliste!AS21&gt;=G21,
  IF(Prüfungsliste!AQ21=3,
   IF(J21,1,0)+IF(Prüfungsliste!AU21="B",1,0)+IF(Prüfungsliste!AV21="B",1,0)&gt;=2,
   FALSE)))</f>
        <v>0</v>
      </c>
      <c r="L21" t="b">
        <f>IF(OR(Prüfungsliste!AQ21=1,Prüfungsliste!AQ21=3),OR(Prüfungsliste!M21=1,Prüfungsliste!S21=1,Prüfungsliste!AA21=1,Prüfungsliste!AD21=1,Prüfungsliste!AH21=1,Prüfungsliste!AK21=1,Prüfungsliste!AL21=1),
 FALSE)</f>
        <v>0</v>
      </c>
      <c r="M21" t="b">
        <f>IF( Prüfungsliste!AL21&lt;&gt;"",
  OR( AND( Prüfungsliste!AL21&lt;=2,
    OR(Prüfungsliste!AU21="NB",Prüfungsliste!AV21="NB")
   ),
   AND( Prüfungsliste!AU21="NB",Prüfungsliste!AV21="NB")
  ),
  FALSE)</f>
        <v>0</v>
      </c>
      <c r="N21" t="b">
        <f>OR(ZE!L21,ZE!M21)</f>
        <v>0</v>
      </c>
      <c r="O21" t="str">
        <f>IF(Prüfungsliste!D21&lt;&gt;"",YEARFRAC(PTag,Prüfungsliste!D21),"")</f>
        <v/>
      </c>
      <c r="P21" t="str">
        <f t="shared" si="0"/>
        <v/>
      </c>
      <c r="Q21" t="str">
        <f>Prüfungsliste!G21&amp;P21&amp;Prüfungsliste!AX21</f>
        <v/>
      </c>
      <c r="R21" t="str">
        <f>IF(Prüfungsliste!G21&lt;&gt;"",VLOOKUP(Prüfungsliste!G21,nst,11,FALSE),"")</f>
        <v/>
      </c>
      <c r="S21" t="str">
        <f t="shared" si="2"/>
        <v>E</v>
      </c>
      <c r="T21" t="str">
        <f>Prüfungsliste!G21 &amp; ZE!S21</f>
        <v>E</v>
      </c>
      <c r="Z21" t="str">
        <f>IF(Prüfungsliste!B21&lt;&gt;"",TRIM(IF(FIND(",",Prüfungsliste!B21&amp;",",1)&lt;LEN(Prüfungsliste!B21)+1,RIGHT(Prüfungsliste!B21,LEN(Prüfungsliste!B21)-FIND(",",Prüfungsliste!B21,1))&amp;" "&amp;LEFT(Prüfungsliste!B21,FIND(",",Prüfungsliste!B21,1)-1),Prüfungsliste!B21)),"")</f>
        <v/>
      </c>
      <c r="AA21" t="b">
        <f>OR(Prüfungsliste!AX21="B",Prüfungsliste!AX21="")</f>
        <v>1</v>
      </c>
    </row>
    <row r="22" spans="1:27" x14ac:dyDescent="0.2">
      <c r="A22" s="7" t="b">
        <f ca="1">AND(Prüfungsliste!D22&lt;&gt;"",YEARFRAC(Prüfungsliste!D22,PTag)&lt;=Kinderprüfungsgrenze)</f>
        <v>0</v>
      </c>
      <c r="B22" s="8" t="str">
        <f>IF(Prüfungsliste!$F22&lt;&gt;"",VLOOKUP(Prüfungsliste!$F22,nstGrad,IF(A22,3,2),FALSE),"")</f>
        <v/>
      </c>
      <c r="C22" t="b">
        <f>IF(Prüfungsliste!G22&lt;&gt;"",OR(VLOOKUP(Prüfungsliste!G22,nst,3,FALSE)="",VLOOKUP(Prüfungsliste!G22,nst,3,FALSE)&gt;=DATE(YEAR(Prüfungsliste!D22),MONTH(Prüfungsliste!D22),DAY(Prüfungsliste!D22)-C$2)),TRUE)</f>
        <v>1</v>
      </c>
      <c r="D22" t="str">
        <f t="shared" si="1"/>
        <v/>
      </c>
      <c r="E22" t="b">
        <f>IF(Prüfungsliste!G22&lt;&gt;"",OR(VLOOKUP(Prüfungsliste!G22,nst,5,FALSE)="",VLOOKUP(Prüfungsliste!G22,nst,5,FALSE)&gt;=DATE(YEAR(Prüfungsliste!E22),MONTH(Prüfungsliste!E22),DAY(Prüfungsliste!E22)-D22)),TRUE)</f>
        <v>1</v>
      </c>
      <c r="F22" t="str">
        <f>IF(Prüfungsliste!G22&lt;&gt;"",
  VLOOKUP(ZE!T22,pli,37,FALSE),
 "")</f>
        <v/>
      </c>
      <c r="G22" t="str">
        <f>IF(Prüfungsliste!G22&lt;&gt;"",
 IF(Prüfungsliste!AQ22=2,
  VLOOKUP(ZE!T22,pli,39,FALSE)*2,
  VLOOKUP(ZE!T22,pli,39,FALSE)),
 "")</f>
        <v/>
      </c>
      <c r="H22" t="b">
        <f>IF(Prüfungsliste!G22&lt;&gt;"",
 OR( ZE!F22=COUNT(Prüfungsliste!M22,Prüfungsliste!S22,Prüfungsliste!AA22,Prüfungsliste!AD22,Prüfungsliste!AH22,Prüfungsliste!AK22,Prüfungsliste!AL22),
  ZE!N22),
 FALSE)</f>
        <v>0</v>
      </c>
      <c r="I22" t="b">
        <f>IF(Prüfungsliste!G22&lt;&gt;"",AND(H22,IF(Prüfungsliste!AQ22=1,TRUE,IF(Prüfungsliste!AQ22=2,Prüfungsliste!AT22&gt;0,IF(Prüfungsliste!AQ22=3,AND(Prüfungsliste!AU22&lt;&gt;"",Prüfungsliste!AV22&lt;&gt;""),FALSE)))),FALSE)</f>
        <v>0</v>
      </c>
      <c r="J22" t="b">
        <f>IF(Prüfungsliste!AQ22=2,
 TRUE,
 AND(NOT(N22),
  Prüfungsliste!AS22&gt;=G22))</f>
        <v>1</v>
      </c>
      <c r="K22" t="b">
        <f>IF(Prüfungsliste!AQ22=1,
 J22,
 IF(Prüfungsliste!AQ22=2,
  Prüfungsliste!AT22+Prüfungsliste!AS22&gt;=G22,
  IF(Prüfungsliste!AQ22=3,
   IF(J22,1,0)+IF(Prüfungsliste!AU22="B",1,0)+IF(Prüfungsliste!AV22="B",1,0)&gt;=2,
   FALSE)))</f>
        <v>0</v>
      </c>
      <c r="L22" t="b">
        <f>IF(OR(Prüfungsliste!AQ22=1,Prüfungsliste!AQ22=3),OR(Prüfungsliste!M22=1,Prüfungsliste!S22=1,Prüfungsliste!AA22=1,Prüfungsliste!AD22=1,Prüfungsliste!AH22=1,Prüfungsliste!AK22=1,Prüfungsliste!AL22=1),
 FALSE)</f>
        <v>0</v>
      </c>
      <c r="M22" t="b">
        <f>IF( Prüfungsliste!AL22&lt;&gt;"",
  OR( AND( Prüfungsliste!AL22&lt;=2,
    OR(Prüfungsliste!AU22="NB",Prüfungsliste!AV22="NB")
   ),
   AND( Prüfungsliste!AU22="NB",Prüfungsliste!AV22="NB")
  ),
  FALSE)</f>
        <v>0</v>
      </c>
      <c r="N22" t="b">
        <f>OR(ZE!L22,ZE!M22)</f>
        <v>0</v>
      </c>
      <c r="O22" t="str">
        <f>IF(Prüfungsliste!D22&lt;&gt;"",YEARFRAC(PTag,Prüfungsliste!D22),"")</f>
        <v/>
      </c>
      <c r="P22" t="str">
        <f t="shared" si="0"/>
        <v/>
      </c>
      <c r="Q22" t="str">
        <f>Prüfungsliste!G22&amp;P22&amp;Prüfungsliste!AX22</f>
        <v/>
      </c>
      <c r="R22" t="str">
        <f>IF(Prüfungsliste!G22&lt;&gt;"",VLOOKUP(Prüfungsliste!G22,nst,11,FALSE),"")</f>
        <v/>
      </c>
      <c r="S22" t="str">
        <f t="shared" si="2"/>
        <v>E</v>
      </c>
      <c r="T22" t="str">
        <f>Prüfungsliste!G22 &amp; ZE!S22</f>
        <v>E</v>
      </c>
      <c r="Z22" t="str">
        <f>IF(Prüfungsliste!B22&lt;&gt;"",TRIM(IF(FIND(",",Prüfungsliste!B22&amp;",",1)&lt;LEN(Prüfungsliste!B22)+1,RIGHT(Prüfungsliste!B22,LEN(Prüfungsliste!B22)-FIND(",",Prüfungsliste!B22,1))&amp;" "&amp;LEFT(Prüfungsliste!B22,FIND(",",Prüfungsliste!B22,1)-1),Prüfungsliste!B22)),"")</f>
        <v/>
      </c>
      <c r="AA22" t="b">
        <f>OR(Prüfungsliste!AX22="B",Prüfungsliste!AX22="")</f>
        <v>1</v>
      </c>
    </row>
    <row r="23" spans="1:27" x14ac:dyDescent="0.2">
      <c r="A23" s="7" t="b">
        <f ca="1">AND(Prüfungsliste!D23&lt;&gt;"",YEARFRAC(Prüfungsliste!D23,PTag)&lt;=Kinderprüfungsgrenze)</f>
        <v>0</v>
      </c>
      <c r="B23" s="8" t="str">
        <f>IF(Prüfungsliste!$F23&lt;&gt;"",VLOOKUP(Prüfungsliste!$F23,nstGrad,IF(A23,3,2),FALSE),"")</f>
        <v/>
      </c>
      <c r="C23" t="b">
        <f>IF(Prüfungsliste!G23&lt;&gt;"",OR(VLOOKUP(Prüfungsliste!G23,nst,3,FALSE)="",VLOOKUP(Prüfungsliste!G23,nst,3,FALSE)&gt;=DATE(YEAR(Prüfungsliste!D23),MONTH(Prüfungsliste!D23),DAY(Prüfungsliste!D23)-C$2)),TRUE)</f>
        <v>1</v>
      </c>
      <c r="D23" t="str">
        <f t="shared" si="1"/>
        <v/>
      </c>
      <c r="E23" t="b">
        <f>IF(Prüfungsliste!G23&lt;&gt;"",OR(VLOOKUP(Prüfungsliste!G23,nst,5,FALSE)="",VLOOKUP(Prüfungsliste!G23,nst,5,FALSE)&gt;=DATE(YEAR(Prüfungsliste!E23),MONTH(Prüfungsliste!E23),DAY(Prüfungsliste!E23)-D23)),TRUE)</f>
        <v>1</v>
      </c>
      <c r="F23" t="str">
        <f>IF(Prüfungsliste!G23&lt;&gt;"",
  VLOOKUP(ZE!T23,pli,37,FALSE),
 "")</f>
        <v/>
      </c>
      <c r="G23" t="str">
        <f>IF(Prüfungsliste!G23&lt;&gt;"",
 IF(Prüfungsliste!AQ23=2,
  VLOOKUP(ZE!T23,pli,39,FALSE)*2,
  VLOOKUP(ZE!T23,pli,39,FALSE)),
 "")</f>
        <v/>
      </c>
      <c r="H23" t="b">
        <f>IF(Prüfungsliste!G23&lt;&gt;"",
 OR( ZE!F23=COUNT(Prüfungsliste!M23,Prüfungsliste!S23,Prüfungsliste!AA23,Prüfungsliste!AD23,Prüfungsliste!AH23,Prüfungsliste!AK23,Prüfungsliste!AL23),
  ZE!N23),
 FALSE)</f>
        <v>0</v>
      </c>
      <c r="I23" t="b">
        <f>IF(Prüfungsliste!G23&lt;&gt;"",AND(H23,IF(Prüfungsliste!AQ23=1,TRUE,IF(Prüfungsliste!AQ23=2,Prüfungsliste!AT23&gt;0,IF(Prüfungsliste!AQ23=3,AND(Prüfungsliste!AU23&lt;&gt;"",Prüfungsliste!AV23&lt;&gt;""),FALSE)))),FALSE)</f>
        <v>0</v>
      </c>
      <c r="J23" t="b">
        <f>IF(Prüfungsliste!AQ23=2,
 TRUE,
 AND(NOT(N23),
  Prüfungsliste!AS23&gt;=G23))</f>
        <v>1</v>
      </c>
      <c r="K23" t="b">
        <f>IF(Prüfungsliste!AQ23=1,
 J23,
 IF(Prüfungsliste!AQ23=2,
  Prüfungsliste!AT23+Prüfungsliste!AS23&gt;=G23,
  IF(Prüfungsliste!AQ23=3,
   IF(J23,1,0)+IF(Prüfungsliste!AU23="B",1,0)+IF(Prüfungsliste!AV23="B",1,0)&gt;=2,
   FALSE)))</f>
        <v>0</v>
      </c>
      <c r="L23" t="b">
        <f>IF(OR(Prüfungsliste!AQ23=1,Prüfungsliste!AQ23=3),OR(Prüfungsliste!M23=1,Prüfungsliste!S23=1,Prüfungsliste!AA23=1,Prüfungsliste!AD23=1,Prüfungsliste!AH23=1,Prüfungsliste!AK23=1,Prüfungsliste!AL23=1),
 FALSE)</f>
        <v>0</v>
      </c>
      <c r="M23" t="b">
        <f>IF( Prüfungsliste!AL23&lt;&gt;"",
  OR( AND( Prüfungsliste!AL23&lt;=2,
    OR(Prüfungsliste!AU23="NB",Prüfungsliste!AV23="NB")
   ),
   AND( Prüfungsliste!AU23="NB",Prüfungsliste!AV23="NB")
  ),
  FALSE)</f>
        <v>0</v>
      </c>
      <c r="N23" t="b">
        <f>OR(ZE!L23,ZE!M23)</f>
        <v>0</v>
      </c>
      <c r="O23" t="str">
        <f>IF(Prüfungsliste!D23&lt;&gt;"",YEARFRAC(PTag,Prüfungsliste!D23),"")</f>
        <v/>
      </c>
      <c r="P23" t="str">
        <f t="shared" si="0"/>
        <v/>
      </c>
      <c r="Q23" t="str">
        <f>Prüfungsliste!G23&amp;P23&amp;Prüfungsliste!AX23</f>
        <v/>
      </c>
      <c r="R23" t="str">
        <f>IF(Prüfungsliste!G23&lt;&gt;"",VLOOKUP(Prüfungsliste!G23,nst,11,FALSE),"")</f>
        <v/>
      </c>
      <c r="S23" t="str">
        <f t="shared" si="2"/>
        <v>E</v>
      </c>
      <c r="T23" t="str">
        <f>Prüfungsliste!G23 &amp; ZE!S23</f>
        <v>E</v>
      </c>
      <c r="Z23" t="str">
        <f>IF(Prüfungsliste!B23&lt;&gt;"",TRIM(IF(FIND(",",Prüfungsliste!B23&amp;",",1)&lt;LEN(Prüfungsliste!B23)+1,RIGHT(Prüfungsliste!B23,LEN(Prüfungsliste!B23)-FIND(",",Prüfungsliste!B23,1))&amp;" "&amp;LEFT(Prüfungsliste!B23,FIND(",",Prüfungsliste!B23,1)-1),Prüfungsliste!B23)),"")</f>
        <v/>
      </c>
      <c r="AA23" t="b">
        <f>OR(Prüfungsliste!AX23="B",Prüfungsliste!AX23="")</f>
        <v>1</v>
      </c>
    </row>
  </sheetData>
  <phoneticPr fontId="3"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19"/>
  <sheetViews>
    <sheetView showGridLines="0" workbookViewId="0">
      <pane xSplit="2" ySplit="5" topLeftCell="C6" activePane="bottomRight" state="frozen"/>
      <selection pane="topRight" activeCell="C1" sqref="C1"/>
      <selection pane="bottomLeft" activeCell="A5" sqref="A5"/>
      <selection pane="bottomRight" activeCell="C4" sqref="C4:D4"/>
    </sheetView>
  </sheetViews>
  <sheetFormatPr baseColWidth="10" defaultColWidth="11.5703125" defaultRowHeight="12.75" x14ac:dyDescent="0.2"/>
  <cols>
    <col min="1" max="1" width="1.85546875" style="11" customWidth="1"/>
    <col min="2" max="2" width="6.85546875" style="11" customWidth="1"/>
    <col min="3" max="18" width="6" style="11" customWidth="1"/>
    <col min="19" max="16384" width="11.5703125" style="11"/>
  </cols>
  <sheetData>
    <row r="1" spans="2:18" ht="18" x14ac:dyDescent="0.25">
      <c r="B1" s="10" t="s">
        <v>114</v>
      </c>
    </row>
    <row r="2" spans="2:18" ht="18" x14ac:dyDescent="0.25">
      <c r="B2" s="10"/>
      <c r="E2" s="249" t="s">
        <v>109</v>
      </c>
      <c r="F2" s="249"/>
      <c r="G2" s="249"/>
      <c r="H2" s="249"/>
      <c r="I2" s="249"/>
      <c r="J2" s="249"/>
      <c r="K2" s="249"/>
      <c r="L2" s="249"/>
      <c r="M2" s="249"/>
      <c r="N2" s="249"/>
      <c r="O2" s="249"/>
      <c r="P2" s="249"/>
      <c r="Q2" s="249"/>
      <c r="R2" s="249"/>
    </row>
    <row r="3" spans="2:18" ht="18.75" thickBot="1" x14ac:dyDescent="0.3">
      <c r="B3" s="10"/>
      <c r="C3" s="249"/>
      <c r="D3" s="249"/>
      <c r="E3" s="249">
        <v>1</v>
      </c>
      <c r="F3" s="249"/>
      <c r="G3" s="249">
        <v>2</v>
      </c>
      <c r="H3" s="249"/>
      <c r="I3" s="249">
        <v>3</v>
      </c>
      <c r="J3" s="249"/>
      <c r="K3" s="249">
        <v>4</v>
      </c>
      <c r="L3" s="249"/>
      <c r="M3" s="249">
        <v>5</v>
      </c>
      <c r="N3" s="249"/>
      <c r="O3" s="249">
        <v>6</v>
      </c>
      <c r="P3" s="249"/>
      <c r="Q3" s="249">
        <v>7</v>
      </c>
      <c r="R3" s="249"/>
    </row>
    <row r="4" spans="2:18" ht="18" x14ac:dyDescent="0.25">
      <c r="B4" s="10"/>
      <c r="C4" s="250" t="s">
        <v>108</v>
      </c>
      <c r="D4" s="251"/>
      <c r="E4" s="247" t="str">
        <f>"bis " &amp; HLOOKUP(E3,AStufen,2,FALSE) &amp; " Jahre"</f>
        <v>bis 6 Jahre</v>
      </c>
      <c r="F4" s="248"/>
      <c r="G4" s="247" t="str">
        <f>HLOOKUP(G3-1,AStufen,2,FALSE) &amp; " bis " &amp; HLOOKUP(G3,AStufen,2,FALSE) &amp; " Jahre"</f>
        <v>6 bis 14 Jahre</v>
      </c>
      <c r="H4" s="248"/>
      <c r="I4" s="247" t="str">
        <f>HLOOKUP(I3-1,AStufen,2,FALSE) &amp; " bis " &amp; HLOOKUP(I3,AStufen,2,FALSE) &amp; " Jahre"</f>
        <v>14 bis 18 Jahre</v>
      </c>
      <c r="J4" s="248"/>
      <c r="K4" s="247" t="str">
        <f>HLOOKUP(K3-1,AStufen,2,FALSE) &amp; " bis " &amp; HLOOKUP(K3,AStufen,2,FALSE) &amp; " Jahre"</f>
        <v>18 bis 26 Jahre</v>
      </c>
      <c r="L4" s="248"/>
      <c r="M4" s="247" t="str">
        <f>HLOOKUP(M3-1,AStufen,2,FALSE) &amp; " bis " &amp; HLOOKUP(M3,AStufen,2,FALSE) &amp; " Jahre"</f>
        <v>26 bis 40 Jahre</v>
      </c>
      <c r="N4" s="248"/>
      <c r="O4" s="247" t="str">
        <f>HLOOKUP(O3-1,AStufen,2,FALSE) &amp; " bis " &amp; HLOOKUP(O3,AStufen,2,FALSE) &amp; " Jahre"</f>
        <v>40 bis 60 Jahre</v>
      </c>
      <c r="P4" s="248"/>
      <c r="Q4" s="247" t="str">
        <f>"ab " &amp; HLOOKUP(Q3-1,AStufen,2,FALSE) &amp;  " Jahre"</f>
        <v>ab 60 Jahre</v>
      </c>
      <c r="R4" s="248"/>
    </row>
    <row r="5" spans="2:18" ht="13.5" thickBot="1" x14ac:dyDescent="0.25">
      <c r="C5" s="25" t="s">
        <v>86</v>
      </c>
      <c r="D5" s="107" t="s">
        <v>87</v>
      </c>
      <c r="E5" s="25" t="s">
        <v>86</v>
      </c>
      <c r="F5" s="107" t="s">
        <v>87</v>
      </c>
      <c r="G5" s="25" t="s">
        <v>86</v>
      </c>
      <c r="H5" s="107" t="s">
        <v>87</v>
      </c>
      <c r="I5" s="25" t="s">
        <v>86</v>
      </c>
      <c r="J5" s="107" t="s">
        <v>87</v>
      </c>
      <c r="K5" s="25" t="s">
        <v>86</v>
      </c>
      <c r="L5" s="107" t="s">
        <v>87</v>
      </c>
      <c r="M5" s="25" t="s">
        <v>86</v>
      </c>
      <c r="N5" s="107" t="s">
        <v>87</v>
      </c>
      <c r="O5" s="25" t="s">
        <v>86</v>
      </c>
      <c r="P5" s="107" t="s">
        <v>87</v>
      </c>
      <c r="Q5" s="25" t="s">
        <v>86</v>
      </c>
      <c r="R5" s="107" t="s">
        <v>87</v>
      </c>
    </row>
    <row r="6" spans="2:18" x14ac:dyDescent="0.2">
      <c r="B6" s="102" t="str">
        <f>MV!C3</f>
        <v>6.I Kyu</v>
      </c>
      <c r="C6" s="105">
        <f t="shared" ref="C6:C18" si="0">SUM(E6,G6,I6,K6,M6,O6,Q6)</f>
        <v>0</v>
      </c>
      <c r="D6" s="106">
        <f t="shared" ref="D6:D18" si="1">SUM(F6,H6,J6,L6,N6,P6,R6)</f>
        <v>0</v>
      </c>
      <c r="E6" s="113">
        <f>COUNTIF(ZE!$Q$4:'ZE'!$Q$23,$B6&amp;E$3&amp;E$5)</f>
        <v>0</v>
      </c>
      <c r="F6" s="119">
        <f>COUNTIF(ZE!$Q$4:'ZE'!$Q$23,$B6&amp;E$3&amp;F$5)</f>
        <v>0</v>
      </c>
      <c r="G6" s="113">
        <f>COUNTIF(ZE!$Q$4:'ZE'!$Q$23,$B6&amp;G$3&amp;G$5)</f>
        <v>0</v>
      </c>
      <c r="H6" s="119">
        <f>COUNTIF(ZE!$Q$4:'ZE'!$Q$23,$B6&amp;G$3&amp;H$5)</f>
        <v>0</v>
      </c>
      <c r="I6" s="113">
        <f>COUNTIF(ZE!$Q$4:'ZE'!$Q$23,$B6&amp;I$3&amp;I$5)</f>
        <v>0</v>
      </c>
      <c r="J6" s="119">
        <f>COUNTIF(ZE!$Q$4:'ZE'!$Q$23,$B6&amp;I$3&amp;J$5)</f>
        <v>0</v>
      </c>
      <c r="K6" s="113">
        <f>COUNTIF(ZE!$Q$4:'ZE'!$Q$23,$B6&amp;K$3&amp;K$5)</f>
        <v>0</v>
      </c>
      <c r="L6" s="119">
        <f>COUNTIF(ZE!$Q$4:'ZE'!$Q$23,$B6&amp;K$3&amp;L$5)</f>
        <v>0</v>
      </c>
      <c r="M6" s="113">
        <f>COUNTIF(ZE!$Q$4:'ZE'!$Q$23,$B6&amp;M$3&amp;M$5)</f>
        <v>0</v>
      </c>
      <c r="N6" s="119">
        <f>COUNTIF(ZE!$Q$4:'ZE'!$Q$23,$B6&amp;M$3&amp;N$5)</f>
        <v>0</v>
      </c>
      <c r="O6" s="113">
        <f>COUNTIF(ZE!$Q$4:'ZE'!$Q$23,$B6&amp;O$3&amp;O$5)</f>
        <v>0</v>
      </c>
      <c r="P6" s="119">
        <f>COUNTIF(ZE!$Q$4:'ZE'!$Q$23,$B6&amp;O$3&amp;P$5)</f>
        <v>0</v>
      </c>
      <c r="Q6" s="113">
        <f>COUNTIF(ZE!$Q$4:'ZE'!$Q$23,$B6&amp;Q$3&amp;Q$5)</f>
        <v>0</v>
      </c>
      <c r="R6" s="119">
        <f>COUNTIF(ZE!$Q$4:'ZE'!$Q$23,$B6&amp;Q$3&amp;R$5)</f>
        <v>0</v>
      </c>
    </row>
    <row r="7" spans="2:18" x14ac:dyDescent="0.2">
      <c r="B7" s="103" t="str">
        <f>MV!C4</f>
        <v>5. Kyu</v>
      </c>
      <c r="C7" s="98">
        <f t="shared" si="0"/>
        <v>0</v>
      </c>
      <c r="D7" s="99">
        <f t="shared" si="1"/>
        <v>0</v>
      </c>
      <c r="E7" s="114">
        <f>COUNTIF(ZE!$Q$4:'ZE'!$Q$23,$B7&amp;E$3&amp;E$5)</f>
        <v>0</v>
      </c>
      <c r="F7" s="120">
        <f>COUNTIF(ZE!$Q$4:'ZE'!$Q$23,$B7&amp;E$3&amp;F$5)</f>
        <v>0</v>
      </c>
      <c r="G7" s="114">
        <f>COUNTIF(ZE!$Q$4:'ZE'!$Q$23,$B7&amp;G$3&amp;G$5)</f>
        <v>0</v>
      </c>
      <c r="H7" s="120">
        <f>COUNTIF(ZE!$Q$4:'ZE'!$Q$23,$B7&amp;G$3&amp;H$5)</f>
        <v>0</v>
      </c>
      <c r="I7" s="114">
        <f>COUNTIF(ZE!$Q$4:'ZE'!$Q$23,$B7&amp;I$3&amp;I$5)</f>
        <v>0</v>
      </c>
      <c r="J7" s="120">
        <f>COUNTIF(ZE!$Q$4:'ZE'!$Q$23,$B7&amp;I$3&amp;J$5)</f>
        <v>0</v>
      </c>
      <c r="K7" s="114">
        <f>COUNTIF(ZE!$Q$4:'ZE'!$Q$23,$B7&amp;K$3&amp;K$5)</f>
        <v>0</v>
      </c>
      <c r="L7" s="120">
        <f>COUNTIF(ZE!$Q$4:'ZE'!$Q$23,$B7&amp;K$3&amp;L$5)</f>
        <v>0</v>
      </c>
      <c r="M7" s="114">
        <f>COUNTIF(ZE!$Q$4:'ZE'!$Q$23,$B7&amp;M$3&amp;M$5)</f>
        <v>0</v>
      </c>
      <c r="N7" s="120">
        <f>COUNTIF(ZE!$Q$4:'ZE'!$Q$23,$B7&amp;M$3&amp;N$5)</f>
        <v>0</v>
      </c>
      <c r="O7" s="114">
        <f>COUNTIF(ZE!$Q$4:'ZE'!$Q$23,$B7&amp;O$3&amp;O$5)</f>
        <v>0</v>
      </c>
      <c r="P7" s="120">
        <f>COUNTIF(ZE!$Q$4:'ZE'!$Q$23,$B7&amp;O$3&amp;P$5)</f>
        <v>0</v>
      </c>
      <c r="Q7" s="114">
        <f>COUNTIF(ZE!$Q$4:'ZE'!$Q$23,$B7&amp;Q$3&amp;Q$5)</f>
        <v>0</v>
      </c>
      <c r="R7" s="120">
        <f>COUNTIF(ZE!$Q$4:'ZE'!$Q$23,$B7&amp;Q$3&amp;R$5)</f>
        <v>0</v>
      </c>
    </row>
    <row r="8" spans="2:18" x14ac:dyDescent="0.2">
      <c r="B8" s="103" t="str">
        <f>MV!C5</f>
        <v>5.I Kyu</v>
      </c>
      <c r="C8" s="98">
        <f t="shared" si="0"/>
        <v>0</v>
      </c>
      <c r="D8" s="99">
        <f t="shared" si="1"/>
        <v>0</v>
      </c>
      <c r="E8" s="114">
        <f>COUNTIF(ZE!$Q$4:'ZE'!$Q$23,$B8&amp;E$3&amp;E$5)</f>
        <v>0</v>
      </c>
      <c r="F8" s="120">
        <f>COUNTIF(ZE!$Q$4:'ZE'!$Q$23,$B8&amp;E$3&amp;F$5)</f>
        <v>0</v>
      </c>
      <c r="G8" s="114">
        <f>COUNTIF(ZE!$Q$4:'ZE'!$Q$23,$B8&amp;G$3&amp;G$5)</f>
        <v>0</v>
      </c>
      <c r="H8" s="120">
        <f>COUNTIF(ZE!$Q$4:'ZE'!$Q$23,$B8&amp;G$3&amp;H$5)</f>
        <v>0</v>
      </c>
      <c r="I8" s="114">
        <f>COUNTIF(ZE!$Q$4:'ZE'!$Q$23,$B8&amp;I$3&amp;I$5)</f>
        <v>0</v>
      </c>
      <c r="J8" s="120">
        <f>COUNTIF(ZE!$Q$4:'ZE'!$Q$23,$B8&amp;I$3&amp;J$5)</f>
        <v>0</v>
      </c>
      <c r="K8" s="114">
        <f>COUNTIF(ZE!$Q$4:'ZE'!$Q$23,$B8&amp;K$3&amp;K$5)</f>
        <v>0</v>
      </c>
      <c r="L8" s="120">
        <f>COUNTIF(ZE!$Q$4:'ZE'!$Q$23,$B8&amp;K$3&amp;L$5)</f>
        <v>0</v>
      </c>
      <c r="M8" s="114">
        <f>COUNTIF(ZE!$Q$4:'ZE'!$Q$23,$B8&amp;M$3&amp;M$5)</f>
        <v>0</v>
      </c>
      <c r="N8" s="120">
        <f>COUNTIF(ZE!$Q$4:'ZE'!$Q$23,$B8&amp;M$3&amp;N$5)</f>
        <v>0</v>
      </c>
      <c r="O8" s="114">
        <f>COUNTIF(ZE!$Q$4:'ZE'!$Q$23,$B8&amp;O$3&amp;O$5)</f>
        <v>0</v>
      </c>
      <c r="P8" s="120">
        <f>COUNTIF(ZE!$Q$4:'ZE'!$Q$23,$B8&amp;O$3&amp;P$5)</f>
        <v>0</v>
      </c>
      <c r="Q8" s="114">
        <f>COUNTIF(ZE!$Q$4:'ZE'!$Q$23,$B8&amp;Q$3&amp;Q$5)</f>
        <v>0</v>
      </c>
      <c r="R8" s="120">
        <f>COUNTIF(ZE!$Q$4:'ZE'!$Q$23,$B8&amp;Q$3&amp;R$5)</f>
        <v>0</v>
      </c>
    </row>
    <row r="9" spans="2:18" x14ac:dyDescent="0.2">
      <c r="B9" s="103" t="str">
        <f>MV!C6</f>
        <v>4. Kyu</v>
      </c>
      <c r="C9" s="98">
        <f t="shared" si="0"/>
        <v>0</v>
      </c>
      <c r="D9" s="99">
        <f t="shared" si="1"/>
        <v>0</v>
      </c>
      <c r="E9" s="114">
        <f>COUNTIF(ZE!$Q$4:'ZE'!$Q$23,$B9&amp;E$3&amp;E$5)</f>
        <v>0</v>
      </c>
      <c r="F9" s="120">
        <f>COUNTIF(ZE!$Q$4:'ZE'!$Q$23,$B9&amp;E$3&amp;F$5)</f>
        <v>0</v>
      </c>
      <c r="G9" s="114">
        <f>COUNTIF(ZE!$Q$4:'ZE'!$Q$23,$B9&amp;G$3&amp;G$5)</f>
        <v>0</v>
      </c>
      <c r="H9" s="120">
        <f>COUNTIF(ZE!$Q$4:'ZE'!$Q$23,$B9&amp;G$3&amp;H$5)</f>
        <v>0</v>
      </c>
      <c r="I9" s="114">
        <f>COUNTIF(ZE!$Q$4:'ZE'!$Q$23,$B9&amp;I$3&amp;I$5)</f>
        <v>0</v>
      </c>
      <c r="J9" s="120">
        <f>COUNTIF(ZE!$Q$4:'ZE'!$Q$23,$B9&amp;I$3&amp;J$5)</f>
        <v>0</v>
      </c>
      <c r="K9" s="114">
        <f>COUNTIF(ZE!$Q$4:'ZE'!$Q$23,$B9&amp;K$3&amp;K$5)</f>
        <v>0</v>
      </c>
      <c r="L9" s="120">
        <f>COUNTIF(ZE!$Q$4:'ZE'!$Q$23,$B9&amp;K$3&amp;L$5)</f>
        <v>0</v>
      </c>
      <c r="M9" s="114">
        <f>COUNTIF(ZE!$Q$4:'ZE'!$Q$23,$B9&amp;M$3&amp;M$5)</f>
        <v>0</v>
      </c>
      <c r="N9" s="120">
        <f>COUNTIF(ZE!$Q$4:'ZE'!$Q$23,$B9&amp;M$3&amp;N$5)</f>
        <v>0</v>
      </c>
      <c r="O9" s="114">
        <f>COUNTIF(ZE!$Q$4:'ZE'!$Q$23,$B9&amp;O$3&amp;O$5)</f>
        <v>0</v>
      </c>
      <c r="P9" s="120">
        <f>COUNTIF(ZE!$Q$4:'ZE'!$Q$23,$B9&amp;O$3&amp;P$5)</f>
        <v>0</v>
      </c>
      <c r="Q9" s="114">
        <f>COUNTIF(ZE!$Q$4:'ZE'!$Q$23,$B9&amp;Q$3&amp;Q$5)</f>
        <v>0</v>
      </c>
      <c r="R9" s="120">
        <f>COUNTIF(ZE!$Q$4:'ZE'!$Q$23,$B9&amp;Q$3&amp;R$5)</f>
        <v>0</v>
      </c>
    </row>
    <row r="10" spans="2:18" x14ac:dyDescent="0.2">
      <c r="B10" s="103" t="str">
        <f>MV!C7</f>
        <v>4.I Kyu</v>
      </c>
      <c r="C10" s="98">
        <f t="shared" si="0"/>
        <v>0</v>
      </c>
      <c r="D10" s="99">
        <f t="shared" si="1"/>
        <v>0</v>
      </c>
      <c r="E10" s="114">
        <f>COUNTIF(ZE!$Q$4:'ZE'!$Q$23,$B10&amp;E$3&amp;E$5)</f>
        <v>0</v>
      </c>
      <c r="F10" s="120">
        <f>COUNTIF(ZE!$Q$4:'ZE'!$Q$23,$B10&amp;E$3&amp;F$5)</f>
        <v>0</v>
      </c>
      <c r="G10" s="114">
        <f>COUNTIF(ZE!$Q$4:'ZE'!$Q$23,$B10&amp;G$3&amp;G$5)</f>
        <v>0</v>
      </c>
      <c r="H10" s="120">
        <f>COUNTIF(ZE!$Q$4:'ZE'!$Q$23,$B10&amp;G$3&amp;H$5)</f>
        <v>0</v>
      </c>
      <c r="I10" s="114">
        <f>COUNTIF(ZE!$Q$4:'ZE'!$Q$23,$B10&amp;I$3&amp;I$5)</f>
        <v>0</v>
      </c>
      <c r="J10" s="120">
        <f>COUNTIF(ZE!$Q$4:'ZE'!$Q$23,$B10&amp;I$3&amp;J$5)</f>
        <v>0</v>
      </c>
      <c r="K10" s="114">
        <f>COUNTIF(ZE!$Q$4:'ZE'!$Q$23,$B10&amp;K$3&amp;K$5)</f>
        <v>0</v>
      </c>
      <c r="L10" s="120">
        <f>COUNTIF(ZE!$Q$4:'ZE'!$Q$23,$B10&amp;K$3&amp;L$5)</f>
        <v>0</v>
      </c>
      <c r="M10" s="114">
        <f>COUNTIF(ZE!$Q$4:'ZE'!$Q$23,$B10&amp;M$3&amp;M$5)</f>
        <v>0</v>
      </c>
      <c r="N10" s="120">
        <f>COUNTIF(ZE!$Q$4:'ZE'!$Q$23,$B10&amp;M$3&amp;N$5)</f>
        <v>0</v>
      </c>
      <c r="O10" s="114">
        <f>COUNTIF(ZE!$Q$4:'ZE'!$Q$23,$B10&amp;O$3&amp;O$5)</f>
        <v>0</v>
      </c>
      <c r="P10" s="120">
        <f>COUNTIF(ZE!$Q$4:'ZE'!$Q$23,$B10&amp;O$3&amp;P$5)</f>
        <v>0</v>
      </c>
      <c r="Q10" s="114">
        <f>COUNTIF(ZE!$Q$4:'ZE'!$Q$23,$B10&amp;Q$3&amp;Q$5)</f>
        <v>0</v>
      </c>
      <c r="R10" s="120">
        <f>COUNTIF(ZE!$Q$4:'ZE'!$Q$23,$B10&amp;Q$3&amp;R$5)</f>
        <v>0</v>
      </c>
    </row>
    <row r="11" spans="2:18" x14ac:dyDescent="0.2">
      <c r="B11" s="103" t="str">
        <f>MV!C8</f>
        <v>3. Kyu</v>
      </c>
      <c r="C11" s="98">
        <f t="shared" si="0"/>
        <v>0</v>
      </c>
      <c r="D11" s="99">
        <f t="shared" si="1"/>
        <v>0</v>
      </c>
      <c r="E11" s="114">
        <f>COUNTIF(ZE!$Q$4:'ZE'!$Q$23,$B11&amp;E$3&amp;E$5)</f>
        <v>0</v>
      </c>
      <c r="F11" s="120">
        <f>COUNTIF(ZE!$Q$4:'ZE'!$Q$23,$B11&amp;E$3&amp;F$5)</f>
        <v>0</v>
      </c>
      <c r="G11" s="114">
        <f>COUNTIF(ZE!$Q$4:'ZE'!$Q$23,$B11&amp;G$3&amp;G$5)</f>
        <v>0</v>
      </c>
      <c r="H11" s="120">
        <f>COUNTIF(ZE!$Q$4:'ZE'!$Q$23,$B11&amp;G$3&amp;H$5)</f>
        <v>0</v>
      </c>
      <c r="I11" s="114">
        <f>COUNTIF(ZE!$Q$4:'ZE'!$Q$23,$B11&amp;I$3&amp;I$5)</f>
        <v>0</v>
      </c>
      <c r="J11" s="120">
        <f>COUNTIF(ZE!$Q$4:'ZE'!$Q$23,$B11&amp;I$3&amp;J$5)</f>
        <v>0</v>
      </c>
      <c r="K11" s="114">
        <f>COUNTIF(ZE!$Q$4:'ZE'!$Q$23,$B11&amp;K$3&amp;K$5)</f>
        <v>0</v>
      </c>
      <c r="L11" s="120">
        <f>COUNTIF(ZE!$Q$4:'ZE'!$Q$23,$B11&amp;K$3&amp;L$5)</f>
        <v>0</v>
      </c>
      <c r="M11" s="114">
        <f>COUNTIF(ZE!$Q$4:'ZE'!$Q$23,$B11&amp;M$3&amp;M$5)</f>
        <v>0</v>
      </c>
      <c r="N11" s="120">
        <f>COUNTIF(ZE!$Q$4:'ZE'!$Q$23,$B11&amp;M$3&amp;N$5)</f>
        <v>0</v>
      </c>
      <c r="O11" s="114">
        <f>COUNTIF(ZE!$Q$4:'ZE'!$Q$23,$B11&amp;O$3&amp;O$5)</f>
        <v>0</v>
      </c>
      <c r="P11" s="120">
        <f>COUNTIF(ZE!$Q$4:'ZE'!$Q$23,$B11&amp;O$3&amp;P$5)</f>
        <v>0</v>
      </c>
      <c r="Q11" s="114">
        <f>COUNTIF(ZE!$Q$4:'ZE'!$Q$23,$B11&amp;Q$3&amp;Q$5)</f>
        <v>0</v>
      </c>
      <c r="R11" s="120">
        <f>COUNTIF(ZE!$Q$4:'ZE'!$Q$23,$B11&amp;Q$3&amp;R$5)</f>
        <v>0</v>
      </c>
    </row>
    <row r="12" spans="2:18" x14ac:dyDescent="0.2">
      <c r="B12" s="103" t="str">
        <f>MV!C9</f>
        <v>2. Kyu</v>
      </c>
      <c r="C12" s="98">
        <f t="shared" si="0"/>
        <v>0</v>
      </c>
      <c r="D12" s="99">
        <f t="shared" si="1"/>
        <v>0</v>
      </c>
      <c r="E12" s="114">
        <f>COUNTIF(ZE!$Q$4:'ZE'!$Q$23,$B12&amp;E$3&amp;E$5)</f>
        <v>0</v>
      </c>
      <c r="F12" s="120">
        <f>COUNTIF(ZE!$Q$4:'ZE'!$Q$23,$B12&amp;E$3&amp;F$5)</f>
        <v>0</v>
      </c>
      <c r="G12" s="114">
        <f>COUNTIF(ZE!$Q$4:'ZE'!$Q$23,$B12&amp;G$3&amp;G$5)</f>
        <v>0</v>
      </c>
      <c r="H12" s="120">
        <f>COUNTIF(ZE!$Q$4:'ZE'!$Q$23,$B12&amp;G$3&amp;H$5)</f>
        <v>0</v>
      </c>
      <c r="I12" s="114">
        <f>COUNTIF(ZE!$Q$4:'ZE'!$Q$23,$B12&amp;I$3&amp;I$5)</f>
        <v>0</v>
      </c>
      <c r="J12" s="120">
        <f>COUNTIF(ZE!$Q$4:'ZE'!$Q$23,$B12&amp;I$3&amp;J$5)</f>
        <v>0</v>
      </c>
      <c r="K12" s="114">
        <f>COUNTIF(ZE!$Q$4:'ZE'!$Q$23,$B12&amp;K$3&amp;K$5)</f>
        <v>0</v>
      </c>
      <c r="L12" s="120">
        <f>COUNTIF(ZE!$Q$4:'ZE'!$Q$23,$B12&amp;K$3&amp;L$5)</f>
        <v>0</v>
      </c>
      <c r="M12" s="114">
        <f>COUNTIF(ZE!$Q$4:'ZE'!$Q$23,$B12&amp;M$3&amp;M$5)</f>
        <v>0</v>
      </c>
      <c r="N12" s="120">
        <f>COUNTIF(ZE!$Q$4:'ZE'!$Q$23,$B12&amp;M$3&amp;N$5)</f>
        <v>0</v>
      </c>
      <c r="O12" s="114">
        <f>COUNTIF(ZE!$Q$4:'ZE'!$Q$23,$B12&amp;O$3&amp;O$5)</f>
        <v>0</v>
      </c>
      <c r="P12" s="120">
        <f>COUNTIF(ZE!$Q$4:'ZE'!$Q$23,$B12&amp;O$3&amp;P$5)</f>
        <v>0</v>
      </c>
      <c r="Q12" s="114">
        <f>COUNTIF(ZE!$Q$4:'ZE'!$Q$23,$B12&amp;Q$3&amp;Q$5)</f>
        <v>0</v>
      </c>
      <c r="R12" s="120">
        <f>COUNTIF(ZE!$Q$4:'ZE'!$Q$23,$B12&amp;Q$3&amp;R$5)</f>
        <v>0</v>
      </c>
    </row>
    <row r="13" spans="2:18" ht="13.5" thickBot="1" x14ac:dyDescent="0.25">
      <c r="B13" s="108" t="str">
        <f>MV!C10</f>
        <v>1. Kyu</v>
      </c>
      <c r="C13" s="100">
        <f t="shared" si="0"/>
        <v>0</v>
      </c>
      <c r="D13" s="101">
        <f t="shared" si="1"/>
        <v>0</v>
      </c>
      <c r="E13" s="115">
        <f>COUNTIF(ZE!$Q$4:'ZE'!$Q$23,$B13&amp;E$3&amp;E$5)</f>
        <v>0</v>
      </c>
      <c r="F13" s="121">
        <f>COUNTIF(ZE!$Q$4:'ZE'!$Q$23,$B13&amp;E$3&amp;F$5)</f>
        <v>0</v>
      </c>
      <c r="G13" s="115">
        <f>COUNTIF(ZE!$Q$4:'ZE'!$Q$23,$B13&amp;G$3&amp;G$5)</f>
        <v>0</v>
      </c>
      <c r="H13" s="121">
        <f>COUNTIF(ZE!$Q$4:'ZE'!$Q$23,$B13&amp;G$3&amp;H$5)</f>
        <v>0</v>
      </c>
      <c r="I13" s="115">
        <f>COUNTIF(ZE!$Q$4:'ZE'!$Q$23,$B13&amp;I$3&amp;I$5)</f>
        <v>0</v>
      </c>
      <c r="J13" s="121">
        <f>COUNTIF(ZE!$Q$4:'ZE'!$Q$23,$B13&amp;I$3&amp;J$5)</f>
        <v>0</v>
      </c>
      <c r="K13" s="115">
        <f>COUNTIF(ZE!$Q$4:'ZE'!$Q$23,$B13&amp;K$3&amp;K$5)</f>
        <v>0</v>
      </c>
      <c r="L13" s="121">
        <f>COUNTIF(ZE!$Q$4:'ZE'!$Q$23,$B13&amp;K$3&amp;L$5)</f>
        <v>0</v>
      </c>
      <c r="M13" s="115">
        <f>COUNTIF(ZE!$Q$4:'ZE'!$Q$23,$B13&amp;M$3&amp;M$5)</f>
        <v>0</v>
      </c>
      <c r="N13" s="121">
        <f>COUNTIF(ZE!$Q$4:'ZE'!$Q$23,$B13&amp;M$3&amp;N$5)</f>
        <v>0</v>
      </c>
      <c r="O13" s="115">
        <f>COUNTIF(ZE!$Q$4:'ZE'!$Q$23,$B13&amp;O$3&amp;O$5)</f>
        <v>0</v>
      </c>
      <c r="P13" s="121">
        <f>COUNTIF(ZE!$Q$4:'ZE'!$Q$23,$B13&amp;O$3&amp;P$5)</f>
        <v>0</v>
      </c>
      <c r="Q13" s="115">
        <f>COUNTIF(ZE!$Q$4:'ZE'!$Q$23,$B13&amp;Q$3&amp;Q$5)</f>
        <v>0</v>
      </c>
      <c r="R13" s="121">
        <f>COUNTIF(ZE!$Q$4:'ZE'!$Q$23,$B13&amp;Q$3&amp;R$5)</f>
        <v>0</v>
      </c>
    </row>
    <row r="14" spans="2:18" x14ac:dyDescent="0.2">
      <c r="B14" s="102" t="str">
        <f>MV!C11</f>
        <v>1. Dan</v>
      </c>
      <c r="C14" s="111">
        <f t="shared" si="0"/>
        <v>0</v>
      </c>
      <c r="D14" s="109">
        <f t="shared" si="1"/>
        <v>0</v>
      </c>
      <c r="E14" s="116">
        <f>COUNTIF(ZE!$Q$4:'ZE'!$Q$23,$B14&amp;E$3&amp;E$5)</f>
        <v>0</v>
      </c>
      <c r="F14" s="119">
        <f>COUNTIF(ZE!$Q$4:'ZE'!$Q$23,$B14&amp;E$3&amp;F$5)</f>
        <v>0</v>
      </c>
      <c r="G14" s="116">
        <f>COUNTIF(ZE!$Q$4:'ZE'!$Q$23,$B14&amp;G$3&amp;G$5)</f>
        <v>0</v>
      </c>
      <c r="H14" s="119">
        <f>COUNTIF(ZE!$Q$4:'ZE'!$Q$23,$B14&amp;G$3&amp;H$5)</f>
        <v>0</v>
      </c>
      <c r="I14" s="116">
        <f>COUNTIF(ZE!$Q$4:'ZE'!$Q$23,$B14&amp;I$3&amp;I$5)</f>
        <v>0</v>
      </c>
      <c r="J14" s="119">
        <f>COUNTIF(ZE!$Q$4:'ZE'!$Q$23,$B14&amp;I$3&amp;J$5)</f>
        <v>0</v>
      </c>
      <c r="K14" s="116">
        <f>COUNTIF(ZE!$Q$4:'ZE'!$Q$23,$B14&amp;K$3&amp;K$5)</f>
        <v>0</v>
      </c>
      <c r="L14" s="119">
        <f>COUNTIF(ZE!$Q$4:'ZE'!$Q$23,$B14&amp;K$3&amp;L$5)</f>
        <v>0</v>
      </c>
      <c r="M14" s="116">
        <f>COUNTIF(ZE!$Q$4:'ZE'!$Q$23,$B14&amp;M$3&amp;M$5)</f>
        <v>0</v>
      </c>
      <c r="N14" s="119">
        <f>COUNTIF(ZE!$Q$4:'ZE'!$Q$23,$B14&amp;M$3&amp;N$5)</f>
        <v>0</v>
      </c>
      <c r="O14" s="116">
        <f>COUNTIF(ZE!$Q$4:'ZE'!$Q$23,$B14&amp;O$3&amp;O$5)</f>
        <v>0</v>
      </c>
      <c r="P14" s="119">
        <f>COUNTIF(ZE!$Q$4:'ZE'!$Q$23,$B14&amp;O$3&amp;P$5)</f>
        <v>0</v>
      </c>
      <c r="Q14" s="116">
        <f>COUNTIF(ZE!$Q$4:'ZE'!$Q$23,$B14&amp;Q$3&amp;Q$5)</f>
        <v>0</v>
      </c>
      <c r="R14" s="119">
        <f>COUNTIF(ZE!$Q$4:'ZE'!$Q$23,$B14&amp;Q$3&amp;R$5)</f>
        <v>0</v>
      </c>
    </row>
    <row r="15" spans="2:18" x14ac:dyDescent="0.2">
      <c r="B15" s="103" t="str">
        <f>MV!C12</f>
        <v>2. Dan</v>
      </c>
      <c r="C15" s="98">
        <f t="shared" si="0"/>
        <v>0</v>
      </c>
      <c r="D15" s="99">
        <f t="shared" si="1"/>
        <v>0</v>
      </c>
      <c r="E15" s="114">
        <f>COUNTIF(ZE!$Q$4:'ZE'!$Q$23,$B15&amp;E$3&amp;E$5)</f>
        <v>0</v>
      </c>
      <c r="F15" s="120">
        <f>COUNTIF(ZE!$Q$4:'ZE'!$Q$23,$B15&amp;E$3&amp;F$5)</f>
        <v>0</v>
      </c>
      <c r="G15" s="114">
        <f>COUNTIF(ZE!$Q$4:'ZE'!$Q$23,$B15&amp;G$3&amp;G$5)</f>
        <v>0</v>
      </c>
      <c r="H15" s="120">
        <f>COUNTIF(ZE!$Q$4:'ZE'!$Q$23,$B15&amp;G$3&amp;H$5)</f>
        <v>0</v>
      </c>
      <c r="I15" s="114">
        <f>COUNTIF(ZE!$Q$4:'ZE'!$Q$23,$B15&amp;I$3&amp;I$5)</f>
        <v>0</v>
      </c>
      <c r="J15" s="120">
        <f>COUNTIF(ZE!$Q$4:'ZE'!$Q$23,$B15&amp;I$3&amp;J$5)</f>
        <v>0</v>
      </c>
      <c r="K15" s="114">
        <f>COUNTIF(ZE!$Q$4:'ZE'!$Q$23,$B15&amp;K$3&amp;K$5)</f>
        <v>0</v>
      </c>
      <c r="L15" s="120">
        <f>COUNTIF(ZE!$Q$4:'ZE'!$Q$23,$B15&amp;K$3&amp;L$5)</f>
        <v>0</v>
      </c>
      <c r="M15" s="114">
        <f>COUNTIF(ZE!$Q$4:'ZE'!$Q$23,$B15&amp;M$3&amp;M$5)</f>
        <v>0</v>
      </c>
      <c r="N15" s="120">
        <f>COUNTIF(ZE!$Q$4:'ZE'!$Q$23,$B15&amp;M$3&amp;N$5)</f>
        <v>0</v>
      </c>
      <c r="O15" s="114">
        <f>COUNTIF(ZE!$Q$4:'ZE'!$Q$23,$B15&amp;O$3&amp;O$5)</f>
        <v>0</v>
      </c>
      <c r="P15" s="120">
        <f>COUNTIF(ZE!$Q$4:'ZE'!$Q$23,$B15&amp;O$3&amp;P$5)</f>
        <v>0</v>
      </c>
      <c r="Q15" s="114">
        <f>COUNTIF(ZE!$Q$4:'ZE'!$Q$23,$B15&amp;Q$3&amp;Q$5)</f>
        <v>0</v>
      </c>
      <c r="R15" s="120">
        <f>COUNTIF(ZE!$Q$4:'ZE'!$Q$23,$B15&amp;Q$3&amp;R$5)</f>
        <v>0</v>
      </c>
    </row>
    <row r="16" spans="2:18" x14ac:dyDescent="0.2">
      <c r="B16" s="103" t="str">
        <f>MV!C13</f>
        <v>3. Dan</v>
      </c>
      <c r="C16" s="98">
        <f t="shared" si="0"/>
        <v>0</v>
      </c>
      <c r="D16" s="99">
        <f t="shared" si="1"/>
        <v>0</v>
      </c>
      <c r="E16" s="114">
        <f>COUNTIF(ZE!$Q$4:'ZE'!$Q$23,$B16&amp;E$3&amp;E$5)</f>
        <v>0</v>
      </c>
      <c r="F16" s="120">
        <f>COUNTIF(ZE!$Q$4:'ZE'!$Q$23,$B16&amp;E$3&amp;F$5)</f>
        <v>0</v>
      </c>
      <c r="G16" s="114">
        <f>COUNTIF(ZE!$Q$4:'ZE'!$Q$23,$B16&amp;G$3&amp;G$5)</f>
        <v>0</v>
      </c>
      <c r="H16" s="120">
        <f>COUNTIF(ZE!$Q$4:'ZE'!$Q$23,$B16&amp;G$3&amp;H$5)</f>
        <v>0</v>
      </c>
      <c r="I16" s="114">
        <f>COUNTIF(ZE!$Q$4:'ZE'!$Q$23,$B16&amp;I$3&amp;I$5)</f>
        <v>0</v>
      </c>
      <c r="J16" s="120">
        <f>COUNTIF(ZE!$Q$4:'ZE'!$Q$23,$B16&amp;I$3&amp;J$5)</f>
        <v>0</v>
      </c>
      <c r="K16" s="114">
        <f>COUNTIF(ZE!$Q$4:'ZE'!$Q$23,$B16&amp;K$3&amp;K$5)</f>
        <v>0</v>
      </c>
      <c r="L16" s="120">
        <f>COUNTIF(ZE!$Q$4:'ZE'!$Q$23,$B16&amp;K$3&amp;L$5)</f>
        <v>0</v>
      </c>
      <c r="M16" s="114">
        <f>COUNTIF(ZE!$Q$4:'ZE'!$Q$23,$B16&amp;M$3&amp;M$5)</f>
        <v>0</v>
      </c>
      <c r="N16" s="120">
        <f>COUNTIF(ZE!$Q$4:'ZE'!$Q$23,$B16&amp;M$3&amp;N$5)</f>
        <v>0</v>
      </c>
      <c r="O16" s="114">
        <f>COUNTIF(ZE!$Q$4:'ZE'!$Q$23,$B16&amp;O$3&amp;O$5)</f>
        <v>0</v>
      </c>
      <c r="P16" s="120">
        <f>COUNTIF(ZE!$Q$4:'ZE'!$Q$23,$B16&amp;O$3&amp;P$5)</f>
        <v>0</v>
      </c>
      <c r="Q16" s="114">
        <f>COUNTIF(ZE!$Q$4:'ZE'!$Q$23,$B16&amp;Q$3&amp;Q$5)</f>
        <v>0</v>
      </c>
      <c r="R16" s="120">
        <f>COUNTIF(ZE!$Q$4:'ZE'!$Q$23,$B16&amp;Q$3&amp;R$5)</f>
        <v>0</v>
      </c>
    </row>
    <row r="17" spans="2:18" x14ac:dyDescent="0.2">
      <c r="B17" s="103" t="str">
        <f>MV!C14</f>
        <v>4. Dan</v>
      </c>
      <c r="C17" s="98">
        <f t="shared" si="0"/>
        <v>0</v>
      </c>
      <c r="D17" s="99">
        <f t="shared" si="1"/>
        <v>0</v>
      </c>
      <c r="E17" s="114">
        <f>COUNTIF(ZE!$Q$4:'ZE'!$Q$23,$B17&amp;E$3&amp;E$5)</f>
        <v>0</v>
      </c>
      <c r="F17" s="120">
        <f>COUNTIF(ZE!$Q$4:'ZE'!$Q$23,$B17&amp;E$3&amp;F$5)</f>
        <v>0</v>
      </c>
      <c r="G17" s="114">
        <f>COUNTIF(ZE!$Q$4:'ZE'!$Q$23,$B17&amp;G$3&amp;G$5)</f>
        <v>0</v>
      </c>
      <c r="H17" s="120">
        <f>COUNTIF(ZE!$Q$4:'ZE'!$Q$23,$B17&amp;G$3&amp;H$5)</f>
        <v>0</v>
      </c>
      <c r="I17" s="114">
        <f>COUNTIF(ZE!$Q$4:'ZE'!$Q$23,$B17&amp;I$3&amp;I$5)</f>
        <v>0</v>
      </c>
      <c r="J17" s="120">
        <f>COUNTIF(ZE!$Q$4:'ZE'!$Q$23,$B17&amp;I$3&amp;J$5)</f>
        <v>0</v>
      </c>
      <c r="K17" s="114">
        <f>COUNTIF(ZE!$Q$4:'ZE'!$Q$23,$B17&amp;K$3&amp;K$5)</f>
        <v>0</v>
      </c>
      <c r="L17" s="120">
        <f>COUNTIF(ZE!$Q$4:'ZE'!$Q$23,$B17&amp;K$3&amp;L$5)</f>
        <v>0</v>
      </c>
      <c r="M17" s="114">
        <f>COUNTIF(ZE!$Q$4:'ZE'!$Q$23,$B17&amp;M$3&amp;M$5)</f>
        <v>0</v>
      </c>
      <c r="N17" s="120">
        <f>COUNTIF(ZE!$Q$4:'ZE'!$Q$23,$B17&amp;M$3&amp;N$5)</f>
        <v>0</v>
      </c>
      <c r="O17" s="114">
        <f>COUNTIF(ZE!$Q$4:'ZE'!$Q$23,$B17&amp;O$3&amp;O$5)</f>
        <v>0</v>
      </c>
      <c r="P17" s="120">
        <f>COUNTIF(ZE!$Q$4:'ZE'!$Q$23,$B17&amp;O$3&amp;P$5)</f>
        <v>0</v>
      </c>
      <c r="Q17" s="114">
        <f>COUNTIF(ZE!$Q$4:'ZE'!$Q$23,$B17&amp;Q$3&amp;Q$5)</f>
        <v>0</v>
      </c>
      <c r="R17" s="120">
        <f>COUNTIF(ZE!$Q$4:'ZE'!$Q$23,$B17&amp;Q$3&amp;R$5)</f>
        <v>0</v>
      </c>
    </row>
    <row r="18" spans="2:18" ht="13.5" thickBot="1" x14ac:dyDescent="0.25">
      <c r="B18" s="104" t="str">
        <f>MV!C15</f>
        <v>5. Dan</v>
      </c>
      <c r="C18" s="112">
        <f t="shared" si="0"/>
        <v>0</v>
      </c>
      <c r="D18" s="110">
        <f t="shared" si="1"/>
        <v>0</v>
      </c>
      <c r="E18" s="117">
        <f>COUNTIF(ZE!$Q$4:'ZE'!$Q$23,$B18&amp;E$3&amp;E$5)</f>
        <v>0</v>
      </c>
      <c r="F18" s="122">
        <f>COUNTIF(ZE!$Q$4:'ZE'!$Q$23,$B18&amp;E$3&amp;F$5)</f>
        <v>0</v>
      </c>
      <c r="G18" s="117">
        <f>COUNTIF(ZE!$Q$4:'ZE'!$Q$23,$B18&amp;G$3&amp;G$5)</f>
        <v>0</v>
      </c>
      <c r="H18" s="122">
        <f>COUNTIF(ZE!$Q$4:'ZE'!$Q$23,$B18&amp;G$3&amp;H$5)</f>
        <v>0</v>
      </c>
      <c r="I18" s="117">
        <f>COUNTIF(ZE!$Q$4:'ZE'!$Q$23,$B18&amp;I$3&amp;I$5)</f>
        <v>0</v>
      </c>
      <c r="J18" s="122">
        <f>COUNTIF(ZE!$Q$4:'ZE'!$Q$23,$B18&amp;I$3&amp;J$5)</f>
        <v>0</v>
      </c>
      <c r="K18" s="117">
        <f>COUNTIF(ZE!$Q$4:'ZE'!$Q$23,$B18&amp;K$3&amp;K$5)</f>
        <v>0</v>
      </c>
      <c r="L18" s="122">
        <f>COUNTIF(ZE!$Q$4:'ZE'!$Q$23,$B18&amp;K$3&amp;L$5)</f>
        <v>0</v>
      </c>
      <c r="M18" s="117">
        <f>COUNTIF(ZE!$Q$4:'ZE'!$Q$23,$B18&amp;M$3&amp;M$5)</f>
        <v>0</v>
      </c>
      <c r="N18" s="122">
        <f>COUNTIF(ZE!$Q$4:'ZE'!$Q$23,$B18&amp;M$3&amp;N$5)</f>
        <v>0</v>
      </c>
      <c r="O18" s="117">
        <f>COUNTIF(ZE!$Q$4:'ZE'!$Q$23,$B18&amp;O$3&amp;O$5)</f>
        <v>0</v>
      </c>
      <c r="P18" s="122">
        <f>COUNTIF(ZE!$Q$4:'ZE'!$Q$23,$B18&amp;O$3&amp;P$5)</f>
        <v>0</v>
      </c>
      <c r="Q18" s="117">
        <f>COUNTIF(ZE!$Q$4:'ZE'!$Q$23,$B18&amp;Q$3&amp;Q$5)</f>
        <v>0</v>
      </c>
      <c r="R18" s="122">
        <f>COUNTIF(ZE!$Q$4:'ZE'!$Q$23,$B18&amp;Q$3&amp;R$5)</f>
        <v>0</v>
      </c>
    </row>
    <row r="19" spans="2:18" ht="13.5" thickBot="1" x14ac:dyDescent="0.25">
      <c r="C19" s="96">
        <f>SUM(C6:C18)</f>
        <v>0</v>
      </c>
      <c r="D19" s="97">
        <f t="shared" ref="D19:R19" si="2">SUM(D6:D18)</f>
        <v>0</v>
      </c>
      <c r="E19" s="118">
        <f t="shared" si="2"/>
        <v>0</v>
      </c>
      <c r="F19" s="123">
        <f t="shared" si="2"/>
        <v>0</v>
      </c>
      <c r="G19" s="118">
        <f t="shared" si="2"/>
        <v>0</v>
      </c>
      <c r="H19" s="123">
        <f t="shared" si="2"/>
        <v>0</v>
      </c>
      <c r="I19" s="118">
        <f t="shared" si="2"/>
        <v>0</v>
      </c>
      <c r="J19" s="123">
        <f t="shared" si="2"/>
        <v>0</v>
      </c>
      <c r="K19" s="118">
        <f t="shared" si="2"/>
        <v>0</v>
      </c>
      <c r="L19" s="123">
        <f t="shared" si="2"/>
        <v>0</v>
      </c>
      <c r="M19" s="118">
        <f t="shared" si="2"/>
        <v>0</v>
      </c>
      <c r="N19" s="123">
        <f t="shared" si="2"/>
        <v>0</v>
      </c>
      <c r="O19" s="118">
        <f t="shared" si="2"/>
        <v>0</v>
      </c>
      <c r="P19" s="123">
        <f t="shared" si="2"/>
        <v>0</v>
      </c>
      <c r="Q19" s="118">
        <f t="shared" si="2"/>
        <v>0</v>
      </c>
      <c r="R19" s="123">
        <f t="shared" si="2"/>
        <v>0</v>
      </c>
    </row>
  </sheetData>
  <sheetProtection sheet="1" objects="1" scenarios="1"/>
  <mergeCells count="17">
    <mergeCell ref="O3:P3"/>
    <mergeCell ref="O4:P4"/>
    <mergeCell ref="Q4:R4"/>
    <mergeCell ref="E2:R2"/>
    <mergeCell ref="M4:N4"/>
    <mergeCell ref="C4:D4"/>
    <mergeCell ref="E4:F4"/>
    <mergeCell ref="G4:H4"/>
    <mergeCell ref="I4:J4"/>
    <mergeCell ref="K4:L4"/>
    <mergeCell ref="C3:D3"/>
    <mergeCell ref="Q3:R3"/>
    <mergeCell ref="E3:F3"/>
    <mergeCell ref="G3:H3"/>
    <mergeCell ref="I3:J3"/>
    <mergeCell ref="K3:L3"/>
    <mergeCell ref="M3:N3"/>
  </mergeCells>
  <conditionalFormatting sqref="C6:R19">
    <cfRule type="cellIs" dxfId="7" priority="2" stopIfTrue="1" operator="equal">
      <formula>0</formula>
    </cfRule>
  </conditionalFormatting>
  <conditionalFormatting sqref="D6:D19 F6:F19 H6:H19 J6:J19 L6:L19 N6:N19 P6:P19 R6:R19">
    <cfRule type="cellIs" dxfId="6" priority="1" stopIfTrue="1" operator="greaterThan">
      <formula>0</formula>
    </cfRule>
  </conditionalFormatting>
  <pageMargins left="0.59055118110236227" right="0.59055118110236227" top="0.39370078740157483" bottom="0.39370078740157483" header="0.51181102362204722" footer="0.51181102362204722"/>
  <pageSetup paperSize="9"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13"/>
  <sheetViews>
    <sheetView workbookViewId="0">
      <selection activeCell="C4" sqref="C4"/>
    </sheetView>
  </sheetViews>
  <sheetFormatPr baseColWidth="10" defaultRowHeight="12.75" x14ac:dyDescent="0.2"/>
  <cols>
    <col min="1" max="1" width="2.85546875" customWidth="1"/>
    <col min="2" max="2" width="29.7109375" customWidth="1"/>
    <col min="3" max="3" width="4.28515625" customWidth="1"/>
    <col min="4" max="4" width="1.140625" customWidth="1"/>
    <col min="9" max="9" width="7.28515625" customWidth="1"/>
  </cols>
  <sheetData>
    <row r="2" spans="2:13" ht="153" customHeight="1" x14ac:dyDescent="0.2">
      <c r="B2" s="254" t="s">
        <v>141</v>
      </c>
      <c r="C2" s="254"/>
      <c r="D2" s="254"/>
      <c r="E2" s="254"/>
      <c r="F2" s="254"/>
      <c r="G2" s="254"/>
      <c r="H2" s="254"/>
      <c r="I2" s="9"/>
      <c r="J2" s="9"/>
      <c r="K2" s="9"/>
      <c r="L2" s="9"/>
      <c r="M2" s="9"/>
    </row>
    <row r="4" spans="2:13" ht="12.75" customHeight="1" x14ac:dyDescent="0.2">
      <c r="B4" s="82" t="s">
        <v>140</v>
      </c>
      <c r="C4" s="133"/>
      <c r="E4" s="128" t="str">
        <f ca="1">IF(C$4&lt;&gt;"",
IF(OR(INDIRECT("prüfungsliste!g"&amp;TEXT(C$4+3,"#"))="", INDIRECT("prüfungsliste!b"&amp;TEXT(C$4+3,"#"))=""),"Fehler.",
IF(INDIRECT("ZE!R"&amp;TEXT(C$4+3,"#"))&lt;&gt;"K","Fehler.",
IF(INDIRECT("ZE!AA"&amp;TEXT(C$4+3,"#"))&lt;&gt;TRUE,"Fehler.",
IF(Außenseite!S18="","Fehler.","Ok.")))),"")</f>
        <v/>
      </c>
      <c r="F4" s="255" t="str">
        <f ca="1">IF($C$4&lt;&gt;"",
IF(OR(INDIRECT("ZE!Z"&amp;TEXT($C$4+3,"#"))="", INDIRECT("prüfungsliste!g"&amp;TEXT(C$4+3,"#"))=""),"In Zeile "&amp;TEXT($C$4,"#") &amp; " fehlt Name oder angestrebte Graduierung.",
IF(INDIRECT("ZE!R"&amp;TEXT($C$4+3,"#"))&lt;&gt;"K","Für " &amp; INDIRECT("ZE!Z"&amp;TEXT($C$4+3,"#")) &amp; " in Zeile "&amp;TEXT($C$4,"#") &amp; IF(INDIRECT("ZE!R"&amp;TEXT($C$4+3,"#"))="J", " muss eine Jugendurkunde mit Hilfe des Arbeitsblattes ""Jugendurkunde"" ausgestellt werden."," muss eine Danurkunde mit Hilfe des Arbeitsblattes ""Danurkunde"" ausgestellt werden."),
IF(INDIRECT("ZE!AA"&amp;TEXT($C$4+3,"#"))=FALSE,INDIRECT("ZE!Z"&amp;TEXT($C$4+3,"#")) &amp; " in Zeile "&amp;TEXT($C$4,"#") &amp; " hat nicht bestanden und kann deshalb keine Urkunde erhalten.",
IF(Außenseite!S18="","Der Ort der Prüfung muss auf der Außenseite eingetragen werden, damit gedruckt werden kann.","Papier/Urkunde in den Drucker einlegen und mit Excel drucken (&lt;STRG-P&gt;).")))),"")</f>
        <v/>
      </c>
      <c r="G4" s="255"/>
      <c r="H4" s="255"/>
      <c r="I4" s="132"/>
      <c r="J4" s="132"/>
      <c r="K4" s="132"/>
      <c r="L4" s="132"/>
      <c r="M4" s="132"/>
    </row>
    <row r="5" spans="2:13" ht="39.75" customHeight="1" x14ac:dyDescent="0.2">
      <c r="F5" s="255"/>
      <c r="G5" s="255"/>
      <c r="H5" s="255"/>
    </row>
    <row r="6" spans="2:13" ht="212.25" customHeight="1" x14ac:dyDescent="0.2"/>
    <row r="7" spans="2:13" ht="58.5" customHeight="1" x14ac:dyDescent="0.45">
      <c r="C7" s="257" t="str">
        <f ca="1">IF($E$4="Ok.",INDIRECT("ZE!Z"&amp;TEXT($C$4+3,"#")),"")</f>
        <v/>
      </c>
      <c r="D7" s="257"/>
      <c r="E7" s="257"/>
      <c r="F7" s="257"/>
      <c r="G7" s="257"/>
      <c r="H7" s="257"/>
      <c r="I7" s="257"/>
    </row>
    <row r="8" spans="2:13" ht="78" customHeight="1" x14ac:dyDescent="0.35">
      <c r="D8" s="131"/>
      <c r="E8" s="256" t="str">
        <f ca="1">IF($E$4="Ok.",Außenseite!$P$14,"")</f>
        <v/>
      </c>
      <c r="F8" s="256"/>
      <c r="G8" s="256"/>
      <c r="H8" s="256"/>
      <c r="I8" s="130"/>
    </row>
    <row r="9" spans="2:13" ht="29.25" customHeight="1" x14ac:dyDescent="0.35">
      <c r="D9" s="252" t="str">
        <f ca="1">IF($E$4="Ok.",Außenseite!$S$18,"")</f>
        <v/>
      </c>
      <c r="E9" s="252"/>
      <c r="F9" s="252"/>
      <c r="G9" s="252"/>
      <c r="H9" s="252"/>
      <c r="I9" s="252"/>
    </row>
    <row r="10" spans="2:13" ht="31.5" customHeight="1" x14ac:dyDescent="0.45">
      <c r="E10" s="257" t="str">
        <f ca="1">IF($E$4="Ok.",VLOOKUP(INDIRECT("Prüfungsliste!G" &amp; TEXT($C$4+3,"#")),nst,8,FALSE),"")</f>
        <v/>
      </c>
      <c r="F10" s="257"/>
    </row>
    <row r="11" spans="2:13" ht="59.25" customHeight="1" x14ac:dyDescent="0.35">
      <c r="D11" s="252" t="str">
        <f ca="1">IF($E$4="Ok.",VLOOKUP(INDIRECT("Prüfungsliste!G" &amp; TEXT($C$4+3,"#")),nst,9,FALSE),"")</f>
        <v/>
      </c>
      <c r="E11" s="252"/>
      <c r="F11" s="252"/>
      <c r="G11" s="252"/>
      <c r="H11" s="252"/>
      <c r="I11" s="129"/>
    </row>
    <row r="12" spans="2:13" ht="30" customHeight="1" x14ac:dyDescent="0.35">
      <c r="D12" s="129"/>
      <c r="E12" s="253"/>
      <c r="F12" s="253"/>
      <c r="G12" s="253"/>
      <c r="H12" s="253"/>
      <c r="I12" s="129"/>
    </row>
    <row r="13" spans="2:13" ht="201.75" customHeight="1" x14ac:dyDescent="0.2">
      <c r="C13" s="207" t="str">
        <f ca="1">IF($E$4="Ok.",
IF(Außenseite!$S$23 &lt;&gt; "", Außenseite!$S$23 &amp; ", " &amp; TEXT(Außenseite!$Y$23, "#") &amp; ". Dan" &amp;
IF(Außenseite!$S$25 &lt;&gt; "", CHAR(10) &amp; Außenseite!$S$25 &amp; ", " &amp; TEXT(Außenseite!$Y$25, "#") &amp; ". Dan" &amp;
IF(Außenseite!$S$27 &lt;&gt; "", CHAR(10) &amp; Außenseite!$S$27 &amp; ", " &amp; TEXT(Außenseite!$Y$27, "#") &amp; ". Dan", ""), ""),""),"")</f>
        <v/>
      </c>
      <c r="D13" s="207"/>
      <c r="E13" s="207"/>
      <c r="F13" s="207"/>
      <c r="G13" s="207"/>
      <c r="H13" s="207"/>
      <c r="I13" s="207"/>
    </row>
  </sheetData>
  <sheetProtection sheet="1" objects="1" scenarios="1" formatColumns="0" formatRows="0" selectLockedCells="1"/>
  <mergeCells count="9">
    <mergeCell ref="D9:I9"/>
    <mergeCell ref="C13:I13"/>
    <mergeCell ref="D11:H11"/>
    <mergeCell ref="E12:H12"/>
    <mergeCell ref="B2:H2"/>
    <mergeCell ref="F4:H5"/>
    <mergeCell ref="E8:H8"/>
    <mergeCell ref="E10:F10"/>
    <mergeCell ref="C7:I7"/>
  </mergeCells>
  <conditionalFormatting sqref="E4:F4">
    <cfRule type="expression" dxfId="5" priority="1" stopIfTrue="1">
      <formula>$E$4="Fehler."</formula>
    </cfRule>
    <cfRule type="expression" dxfId="4" priority="2" stopIfTrue="1">
      <formula>$E$4="Ok."</formula>
    </cfRule>
  </conditionalFormatting>
  <pageMargins left="0.7" right="0.7" top="0.78740157499999996" bottom="0.78740157499999996" header="0.3" footer="0.3"/>
  <pageSetup paperSize="9"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13"/>
  <sheetViews>
    <sheetView workbookViewId="0">
      <selection activeCell="C4" sqref="C4"/>
    </sheetView>
  </sheetViews>
  <sheetFormatPr baseColWidth="10" defaultRowHeight="12.75" x14ac:dyDescent="0.2"/>
  <cols>
    <col min="1" max="1" width="2.85546875" customWidth="1"/>
    <col min="2" max="2" width="29.7109375" customWidth="1"/>
    <col min="3" max="3" width="4.28515625" customWidth="1"/>
    <col min="4" max="4" width="1.140625" customWidth="1"/>
    <col min="9" max="9" width="7" customWidth="1"/>
  </cols>
  <sheetData>
    <row r="2" spans="2:13" ht="153" customHeight="1" x14ac:dyDescent="0.2">
      <c r="B2" s="254" t="s">
        <v>139</v>
      </c>
      <c r="C2" s="254"/>
      <c r="D2" s="254"/>
      <c r="E2" s="254"/>
      <c r="F2" s="254"/>
      <c r="G2" s="254"/>
      <c r="H2" s="254"/>
      <c r="I2" s="9"/>
      <c r="J2" s="9"/>
      <c r="K2" s="9"/>
      <c r="L2" s="9"/>
      <c r="M2" s="9"/>
    </row>
    <row r="4" spans="2:13" ht="12.75" customHeight="1" x14ac:dyDescent="0.2">
      <c r="B4" s="82" t="s">
        <v>140</v>
      </c>
      <c r="C4" s="133"/>
      <c r="E4" s="128" t="str">
        <f ca="1">IF(C$4&lt;&gt;"",
IF(OR(INDIRECT("prüfungsliste!g"&amp;TEXT(C$4+3,"#"))="", INDIRECT("prüfungsliste!b"&amp;TEXT(C$4+3,"#"))=""),"Fehler.",
IF(INDIRECT("ZE!R"&amp;TEXT(C$4+3,"#"))&lt;&gt;"J","Fehler.",
IF(INDIRECT("ZE!AA"&amp;TEXT(C$4+3,"#"))&lt;&gt;TRUE,"Fehler.",
IF(Außenseite!S18="","Fehler.","Ok.")))),"")</f>
        <v/>
      </c>
      <c r="F4" s="255" t="str">
        <f ca="1">IF($C$4&lt;&gt;"",
IF(OR(INDIRECT("ZE!Z"&amp;TEXT($C$4+3,"#"))="", INDIRECT("prüfungsliste!g"&amp;TEXT(C$4+3,"#"))=""),"In Zeile "&amp;TEXT($C$4,"#") &amp; " fehlt Name oder angestrebte Graduierung.",
IF(INDIRECT("ZE!R"&amp;TEXT($C$4+3,"#"))&lt;&gt;"J","Für " &amp; INDIRECT("ZE!Z"&amp;TEXT($C$4+3,"#")) &amp; " in Zeile "&amp;TEXT($C$4,"#") &amp; IF(INDIRECT("ZE!R"&amp;TEXT($C$4+3,"#"))="K", " muss eine Kyuurkunde mit Hilfe des Arbeitsblattes ""Kyuurkunde"" ausgestellt werden."," muss eine Danurkunde mit Hilfe des Arbeitsblattes ""Danurkunde"" ausgestellt werden."),
IF(INDIRECT("ZE!AA"&amp;TEXT($C$4+3,"#"))=FALSE,INDIRECT("ZE!Z"&amp;TEXT($C$4+3,"#")) &amp; " in Zeile "&amp;TEXT($C$4,"#") &amp; " hat nicht bestanden und kann deshalb keine Urkunde erhalten.",
IF(Außenseite!S18="","Der Ort der Prüfung muss auf der Außenseite eingetragen werden, damit gedruckt werden kann.","Papier/Urkunde in den Drucker einlegen und mit Excel drucken (&lt;STRG-P&gt;).")))),"")</f>
        <v/>
      </c>
      <c r="G4" s="255"/>
      <c r="H4" s="255"/>
      <c r="I4" s="132"/>
      <c r="J4" s="132"/>
      <c r="K4" s="132"/>
      <c r="L4" s="132"/>
      <c r="M4" s="132"/>
    </row>
    <row r="5" spans="2:13" ht="39.75" customHeight="1" x14ac:dyDescent="0.2">
      <c r="F5" s="255"/>
      <c r="G5" s="255"/>
      <c r="H5" s="255"/>
    </row>
    <row r="6" spans="2:13" ht="212.25" customHeight="1" x14ac:dyDescent="0.2"/>
    <row r="7" spans="2:13" ht="56.25" customHeight="1" x14ac:dyDescent="0.45">
      <c r="C7" s="257" t="str">
        <f ca="1">IF($E$4="Ok.",INDIRECT("ZE!z"&amp;TEXT($C$4+3,"#")),"")</f>
        <v/>
      </c>
      <c r="D7" s="257"/>
      <c r="E7" s="257"/>
      <c r="F7" s="257"/>
      <c r="G7" s="257"/>
      <c r="H7" s="257"/>
      <c r="I7" s="257"/>
    </row>
    <row r="8" spans="2:13" ht="78" customHeight="1" x14ac:dyDescent="0.35">
      <c r="D8" s="131"/>
      <c r="E8" s="256" t="str">
        <f ca="1">IF($E$4="Ok.",Außenseite!$P$14,"")</f>
        <v/>
      </c>
      <c r="F8" s="256"/>
      <c r="G8" s="256"/>
      <c r="H8" s="256"/>
      <c r="I8" s="130"/>
    </row>
    <row r="9" spans="2:13" ht="29.25" customHeight="1" x14ac:dyDescent="0.35">
      <c r="D9" s="258" t="str">
        <f ca="1">IF($E$4="Ok.",Außenseite!$S$18,"")</f>
        <v/>
      </c>
      <c r="E9" s="258"/>
      <c r="F9" s="258"/>
      <c r="G9" s="258"/>
      <c r="H9" s="258"/>
      <c r="I9" s="258"/>
    </row>
    <row r="10" spans="2:13" ht="31.5" customHeight="1" x14ac:dyDescent="0.45">
      <c r="E10" s="257" t="str">
        <f ca="1">IF($E$4="Ok.",VLOOKUP(INDIRECT("Prüfungsliste!G" &amp; TEXT($C$4+3,"#")),nst,8,FALSE),"")</f>
        <v/>
      </c>
      <c r="F10" s="257"/>
    </row>
    <row r="11" spans="2:13" ht="59.25" customHeight="1" x14ac:dyDescent="0.35">
      <c r="D11" s="252" t="str">
        <f ca="1">IF($E$4="Ok.",VLOOKUP(INDIRECT("Prüfungsliste!G" &amp; TEXT($C$4+3,"#")),nst,9,FALSE),"")</f>
        <v/>
      </c>
      <c r="E11" s="252"/>
      <c r="F11" s="252"/>
      <c r="G11" s="252"/>
      <c r="H11" s="252"/>
      <c r="I11" s="129"/>
    </row>
    <row r="12" spans="2:13" ht="30" customHeight="1" x14ac:dyDescent="0.35">
      <c r="D12" s="129"/>
      <c r="E12" s="258" t="str">
        <f ca="1">IF($E$4="Ok.",VLOOKUP(INDIRECT("Prüfungsliste!G" &amp; TEXT($C$4+3,"#")),nst,10,FALSE),"")</f>
        <v/>
      </c>
      <c r="F12" s="258"/>
      <c r="G12" s="258"/>
      <c r="H12" s="258"/>
      <c r="I12" s="129"/>
    </row>
    <row r="13" spans="2:13" ht="205.5" customHeight="1" x14ac:dyDescent="0.2">
      <c r="C13" s="207" t="str">
        <f ca="1">IF($E$4="Ok.",
IF(Außenseite!$S$23 &lt;&gt; "", Außenseite!$S$23 &amp; ", " &amp; TEXT(Außenseite!$Y$23, "#") &amp; ". Dan" &amp;
IF(Außenseite!$S$25 &lt;&gt; "", CHAR(10) &amp; Außenseite!$S$25 &amp; ", " &amp; TEXT(Außenseite!$Y$25, "#") &amp; ". Dan" &amp;
IF(Außenseite!$S$27 &lt;&gt; "", CHAR(10) &amp; Außenseite!$S$27 &amp; ", " &amp; TEXT(Außenseite!$Y$27, "#") &amp; ". Dan", ""), ""),""),"")</f>
        <v/>
      </c>
      <c r="D13" s="207"/>
      <c r="E13" s="207"/>
      <c r="F13" s="207"/>
      <c r="G13" s="207"/>
      <c r="H13" s="207"/>
    </row>
  </sheetData>
  <sheetProtection sheet="1" objects="1" scenarios="1" formatColumns="0" formatRows="0" selectLockedCells="1"/>
  <mergeCells count="9">
    <mergeCell ref="C13:H13"/>
    <mergeCell ref="D9:I9"/>
    <mergeCell ref="B2:H2"/>
    <mergeCell ref="F4:H5"/>
    <mergeCell ref="E12:H12"/>
    <mergeCell ref="E8:H8"/>
    <mergeCell ref="E10:F10"/>
    <mergeCell ref="D11:H11"/>
    <mergeCell ref="C7:I7"/>
  </mergeCells>
  <conditionalFormatting sqref="E4:F4">
    <cfRule type="expression" dxfId="3" priority="1" stopIfTrue="1">
      <formula>$E$4="Fehler."</formula>
    </cfRule>
    <cfRule type="expression" dxfId="2" priority="2" stopIfTrue="1">
      <formula>$E$4="Ok."</formula>
    </cfRule>
  </conditionalFormatting>
  <pageMargins left="0.7" right="0.7" top="0.78740157499999996" bottom="0.78740157499999996" header="0.3" footer="0.3"/>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13"/>
  <sheetViews>
    <sheetView workbookViewId="0">
      <selection activeCell="C4" sqref="C4"/>
    </sheetView>
  </sheetViews>
  <sheetFormatPr baseColWidth="10" defaultRowHeight="12.75" x14ac:dyDescent="0.2"/>
  <cols>
    <col min="1" max="1" width="2.85546875" customWidth="1"/>
    <col min="2" max="2" width="16.42578125" customWidth="1"/>
    <col min="3" max="3" width="4.28515625" customWidth="1"/>
    <col min="4" max="4" width="4.42578125" customWidth="1"/>
    <col min="6" max="6" width="10" customWidth="1"/>
    <col min="7" max="7" width="12.85546875" customWidth="1"/>
  </cols>
  <sheetData>
    <row r="2" spans="2:13" ht="153" customHeight="1" x14ac:dyDescent="0.2">
      <c r="B2" s="254" t="s">
        <v>142</v>
      </c>
      <c r="C2" s="254"/>
      <c r="D2" s="254"/>
      <c r="E2" s="254"/>
      <c r="F2" s="254"/>
      <c r="G2" s="254"/>
      <c r="H2" s="254"/>
      <c r="I2" s="9"/>
      <c r="J2" s="9"/>
      <c r="K2" s="9"/>
      <c r="L2" s="9"/>
      <c r="M2" s="9"/>
    </row>
    <row r="4" spans="2:13" ht="12.75" customHeight="1" x14ac:dyDescent="0.2">
      <c r="B4" s="82" t="s">
        <v>143</v>
      </c>
      <c r="C4" s="133"/>
      <c r="E4" s="128" t="str">
        <f ca="1">IF(C$4&lt;&gt;"",
IF(OR(INDIRECT("prüfungsliste!g"&amp;TEXT(C$4+3,"#"))="", INDIRECT("prüfungsliste!b"&amp;TEXT(C$4+3,"#"))=""),"Fehler.",
IF(INDIRECT("ZE!R"&amp;TEXT(C$4+3,"#"))&lt;&gt;"D","Fehler.",
IF(INDIRECT("ZE!AA"&amp;TEXT(C$4+3,"#"))&lt;&gt;TRUE,"Fehler.",
IF(Außenseite!S18="","Fehler.","Ok.")))),"")</f>
        <v/>
      </c>
      <c r="F4" s="255" t="str">
        <f ca="1">IF($C$4&lt;&gt;"",
IF(OR(INDIRECT("ZE!Z"&amp;TEXT($C$4+3,"#"))="", INDIRECT("prüfungsliste!g"&amp;TEXT(C$4+3,"#"))=""),"In Zeile "&amp;TEXT($C$4,"#") &amp; " fehlt Name oder angestrebte Graduierung.",
IF(INDIRECT("ZE!R"&amp;TEXT($C$4+3,"#"))&lt;&gt;"D","Für " &amp; INDIRECT("ZE!Z"&amp;TEXT($C$4+3,"#")) &amp; " in Zeile "&amp;TEXT($C$4,"#") &amp; IF(INDIRECT("ZE!R"&amp;TEXT($C$4+3,"#"))="K", " muss eine Kyuurkunde mit Hilfe des Arbeitsblattes ""Kyuurkunde"" ausgestellt werden."," muss eine Jugendurkunde mit Hilfe des Arbeitsblattes ""Jugendurkunde"" ausgestellt werden."),
IF(INDIRECT("ZE!AA"&amp;TEXT($C$4+3,"#"))=FALSE,INDIRECT("ZE!Z"&amp;TEXT($C$4+3,"#")) &amp; " in Zeile "&amp;TEXT($C$4,"#") &amp; " hat nicht bestanden und kann deshalb keine Urkunde erhalten.",
IF(Außenseite!S18="","Der Ort der Prüfung muss auf der Außenseite eingetragen werden, damit gedruckt werden kann.","Papier/Urkunde in den Drucker einlegen und mit Excel drucken (&lt;STRG-P&gt;).")))),"")</f>
        <v/>
      </c>
      <c r="G4" s="255"/>
      <c r="H4" s="255"/>
      <c r="I4" s="132"/>
      <c r="J4" s="132"/>
      <c r="K4" s="132"/>
      <c r="L4" s="132"/>
      <c r="M4" s="132"/>
    </row>
    <row r="5" spans="2:13" ht="39.75" customHeight="1" x14ac:dyDescent="0.2">
      <c r="F5" s="255"/>
      <c r="G5" s="255"/>
      <c r="H5" s="255"/>
    </row>
    <row r="6" spans="2:13" ht="212.25" customHeight="1" x14ac:dyDescent="0.2"/>
    <row r="7" spans="2:13" ht="84.75" customHeight="1" x14ac:dyDescent="0.4">
      <c r="D7" s="131"/>
      <c r="E7" s="259" t="str">
        <f ca="1">IF($E$4="Ok.",Außenseite!$P$14,"")</f>
        <v/>
      </c>
      <c r="F7" s="259"/>
      <c r="G7" s="259"/>
      <c r="H7" s="259"/>
      <c r="I7" s="130"/>
    </row>
    <row r="8" spans="2:13" ht="38.25" customHeight="1" x14ac:dyDescent="0.4">
      <c r="C8" s="261" t="str">
        <f ca="1">IF($E$4="Ok.",Außenseite!$S$18,"")</f>
        <v/>
      </c>
      <c r="D8" s="261"/>
      <c r="E8" s="261"/>
      <c r="F8" s="261"/>
      <c r="G8" s="137"/>
      <c r="H8" s="137"/>
      <c r="I8" s="129"/>
    </row>
    <row r="9" spans="2:13" ht="74.25" customHeight="1" x14ac:dyDescent="0.45">
      <c r="B9" s="262" t="str">
        <f ca="1">IF($E$4="Ok.",INDIRECT("ZE!z"&amp;TEXT($C$4+3,"#")),"")</f>
        <v/>
      </c>
      <c r="C9" s="262"/>
      <c r="D9" s="262"/>
      <c r="E9" s="262"/>
      <c r="F9" s="262"/>
      <c r="G9" s="262"/>
      <c r="H9" s="262"/>
      <c r="I9" s="129"/>
    </row>
    <row r="10" spans="2:13" ht="51.75" customHeight="1" x14ac:dyDescent="0.45">
      <c r="C10" s="263" t="str">
        <f ca="1">IF($E$4="Ok.",VLOOKUP(INDIRECT("Prüfungsliste!G" &amp; TEXT($C$4+3,"#")),nst,8,FALSE),"")</f>
        <v/>
      </c>
      <c r="D10" s="263"/>
      <c r="E10" s="134"/>
      <c r="F10" s="134"/>
    </row>
    <row r="11" spans="2:13" ht="69" customHeight="1" x14ac:dyDescent="0.35">
      <c r="D11" s="252"/>
      <c r="E11" s="252"/>
      <c r="F11" s="252"/>
      <c r="G11" s="252"/>
      <c r="H11" s="252"/>
      <c r="I11" s="129"/>
    </row>
    <row r="12" spans="2:13" ht="38.25" customHeight="1" x14ac:dyDescent="0.45">
      <c r="C12" s="264" t="str">
        <f ca="1">IF($E$4="Ok.",VLOOKUP(INDIRECT("Prüfungsliste!G" &amp; TEXT($C$4+3,"#")),nst,10,FALSE),"")</f>
        <v/>
      </c>
      <c r="D12" s="264"/>
      <c r="E12" s="135"/>
      <c r="F12" s="135"/>
      <c r="G12" s="135"/>
      <c r="H12" s="135"/>
      <c r="I12" s="129"/>
    </row>
    <row r="13" spans="2:13" ht="119.25" customHeight="1" x14ac:dyDescent="0.2">
      <c r="C13" s="136"/>
      <c r="D13" s="136"/>
      <c r="E13" s="260" t="str">
        <f ca="1">IF($E$4="Ok.",
IF(Außenseite!$S$23 &lt;&gt; "", Außenseite!$S$23 &amp; ", " &amp; TEXT(Außenseite!$Y$23, "#") &amp; ". Dan" &amp;
IF(Außenseite!$S$25 &lt;&gt; "", CHAR(10) &amp; Außenseite!$S$25 &amp; ", " &amp; TEXT(Außenseite!$Y$25, "#") &amp; ". Dan" &amp;
IF(Außenseite!$S$27 &lt;&gt; "", CHAR(10) &amp; Außenseite!$S$27 &amp; ", " &amp; TEXT(Außenseite!$Y$27, "#") &amp; ". Dan", ""), ""),""),"")</f>
        <v/>
      </c>
      <c r="F13" s="260"/>
      <c r="G13" s="260"/>
      <c r="H13" s="260"/>
    </row>
  </sheetData>
  <sheetProtection sheet="1" objects="1" scenarios="1" formatColumns="0" formatRows="0" selectLockedCells="1"/>
  <mergeCells count="9">
    <mergeCell ref="B2:H2"/>
    <mergeCell ref="F4:H5"/>
    <mergeCell ref="E7:H7"/>
    <mergeCell ref="E13:H13"/>
    <mergeCell ref="C8:F8"/>
    <mergeCell ref="B9:H9"/>
    <mergeCell ref="D11:H11"/>
    <mergeCell ref="C10:D10"/>
    <mergeCell ref="C12:D12"/>
  </mergeCells>
  <conditionalFormatting sqref="E4:F4">
    <cfRule type="expression" dxfId="1" priority="1" stopIfTrue="1">
      <formula>$E$4="Fehler."</formula>
    </cfRule>
    <cfRule type="expression" dxfId="0" priority="2" stopIfTrue="1">
      <formula>$E$4="Ok."</formula>
    </cfRule>
  </conditionalFormatting>
  <pageMargins left="0.7" right="0.7" top="0.78740157499999996" bottom="0.78740157499999996"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19</vt:i4>
      </vt:variant>
    </vt:vector>
  </HeadingPairs>
  <TitlesOfParts>
    <vt:vector size="27" baseType="lpstr">
      <vt:lpstr>Außenseite</vt:lpstr>
      <vt:lpstr>Prüfungsliste</vt:lpstr>
      <vt:lpstr>MV</vt:lpstr>
      <vt:lpstr>ZE</vt:lpstr>
      <vt:lpstr>Statistik</vt:lpstr>
      <vt:lpstr>Kyuurkunde</vt:lpstr>
      <vt:lpstr>Jugendurkunde</vt:lpstr>
      <vt:lpstr>Danurkunde</vt:lpstr>
      <vt:lpstr>angestrebterGrad</vt:lpstr>
      <vt:lpstr>AStufe</vt:lpstr>
      <vt:lpstr>AStufen</vt:lpstr>
      <vt:lpstr>Ausrichter</vt:lpstr>
      <vt:lpstr>bisherigerGrad</vt:lpstr>
      <vt:lpstr>bNb</vt:lpstr>
      <vt:lpstr>Danprüfung</vt:lpstr>
      <vt:lpstr>Danurkunde!Druckbereich</vt:lpstr>
      <vt:lpstr>Jugendurkunde!Druckbereich</vt:lpstr>
      <vt:lpstr>Kyuurkunde!Druckbereich</vt:lpstr>
      <vt:lpstr>Kinderprüfungsgrenze</vt:lpstr>
      <vt:lpstr>Kyuprüfung</vt:lpstr>
      <vt:lpstr>Kyuprüfungen</vt:lpstr>
      <vt:lpstr>mindestalterErreicht</vt:lpstr>
      <vt:lpstr>nst</vt:lpstr>
      <vt:lpstr>nstGrad</vt:lpstr>
      <vt:lpstr>pli</vt:lpstr>
      <vt:lpstr>PTag</vt:lpstr>
      <vt:lpstr>vorbereitungszeitErreicht</vt:lpstr>
    </vt:vector>
  </TitlesOfParts>
  <Company>DJJV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Prüfungsliste Jiu-Jitsu</dc:title>
  <dc:subject>Prüfungsliste Jiu-Jitsu</dc:subject>
  <dc:creator>Jens Dykow</dc:creator>
  <cp:keywords>Prüfungsliste, Jiu-Jitsu, DJJV</cp:keywords>
  <cp:lastModifiedBy>Jens Dykow</cp:lastModifiedBy>
  <cp:lastPrinted>2025-03-09T13:48:59Z</cp:lastPrinted>
  <dcterms:created xsi:type="dcterms:W3CDTF">1999-05-10T14:48:00Z</dcterms:created>
  <dcterms:modified xsi:type="dcterms:W3CDTF">2026-01-26T21:33:18Z</dcterms:modified>
</cp:coreProperties>
</file>