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DieseArbeitsmappe" checkCompatibility="1"/>
  <mc:AlternateContent xmlns:mc="http://schemas.openxmlformats.org/markup-compatibility/2006">
    <mc:Choice Requires="x15">
      <x15ac:absPath xmlns:x15ac="http://schemas.microsoft.com/office/spreadsheetml/2010/11/ac" url="E:\jj\BPR\Pruefungsliste\JuJutsu24\"/>
    </mc:Choice>
  </mc:AlternateContent>
  <xr:revisionPtr revIDLastSave="0" documentId="8_{B9F892E1-024E-4C70-B60D-1D2DABB4990E}" xr6:coauthVersionLast="36" xr6:coauthVersionMax="36" xr10:uidLastSave="{00000000-0000-0000-0000-000000000000}"/>
  <workbookProtection lockStructure="1"/>
  <bookViews>
    <workbookView xWindow="240" yWindow="75" windowWidth="9135" windowHeight="4965" xr2:uid="{00000000-000D-0000-FFFF-FFFF00000000}"/>
  </bookViews>
  <sheets>
    <sheet name="Außenseite" sheetId="3" r:id="rId1"/>
    <sheet name="Prüfungsliste" sheetId="1" r:id="rId2"/>
    <sheet name="Statistik" sheetId="7" r:id="rId3"/>
    <sheet name="Kyuurkunde" sheetId="12" r:id="rId4"/>
    <sheet name="Jugendurkunde" sheetId="11" r:id="rId5"/>
    <sheet name="Danurkunde ab 2025" sheetId="14" r:id="rId6"/>
    <sheet name="Danurkunde bis 2025" sheetId="13" r:id="rId7"/>
    <sheet name="MV" sheetId="5" state="hidden" r:id="rId8"/>
    <sheet name="ZE" sheetId="6" state="hidden" r:id="rId9"/>
  </sheets>
  <definedNames>
    <definedName name="angestrebterGrad">MV!$C$3:$C$19</definedName>
    <definedName name="AStufe">MV!$AC$27:$AJ$28</definedName>
    <definedName name="AStufen">MV!$AD$26:$AJ$27</definedName>
    <definedName name="Ausrichter" localSheetId="2">Statistik!#REF!</definedName>
    <definedName name="Ausrichter">Außenseite!$S$16</definedName>
    <definedName name="bisherigerGrad">MV!$A$3:$A$19</definedName>
    <definedName name="bNb">MV!$AD$21:$AD$22</definedName>
    <definedName name="Danprüfung">MV!$AF$22</definedName>
    <definedName name="_xlnm.Print_Area" localSheetId="5">'Danurkunde ab 2025'!$B$6:$H$13</definedName>
    <definedName name="_xlnm.Print_Area" localSheetId="6">'Danurkunde bis 2025'!$B$6:$H$13</definedName>
    <definedName name="_xlnm.Print_Area" localSheetId="4">Jugendurkunde!$B$6:$I$13</definedName>
    <definedName name="_xlnm.Print_Area" localSheetId="3">Kyuurkunde!$B$6:$I$13</definedName>
    <definedName name="Kinderprüfungsgrenze">MV!$E$21</definedName>
    <definedName name="Kyuprüfung">MV!$AF$21</definedName>
    <definedName name="mindestalterErreicht">ZE!$C$4:$C$23</definedName>
    <definedName name="nst">MV!$C$3:$AM$19</definedName>
    <definedName name="nstGrad">MV!$A$3:$C$19</definedName>
    <definedName name="PTag" localSheetId="2">Statistik!#REF!</definedName>
    <definedName name="PTag">Außenseite!$P$14</definedName>
    <definedName name="vorbereitungszeitErreicht">ZE!$E$4:$E$23</definedName>
    <definedName name="vorereitungszeitErreicht">ZE!$E$4:$E$23</definedName>
  </definedNames>
  <calcPr calcId="191029"/>
</workbook>
</file>

<file path=xl/calcChain.xml><?xml version="1.0" encoding="utf-8"?>
<calcChain xmlns="http://schemas.openxmlformats.org/spreadsheetml/2006/main">
  <c r="Y29" i="1" l="1"/>
  <c r="N29" i="1"/>
  <c r="F29" i="1"/>
  <c r="F4" i="11" l="1"/>
  <c r="F4" i="14" l="1"/>
  <c r="F4" i="13"/>
  <c r="E4" i="13"/>
  <c r="E13" i="13" s="1"/>
  <c r="E4" i="14"/>
  <c r="E13" i="14" s="1"/>
  <c r="E4" i="11"/>
  <c r="C13" i="11" s="1"/>
  <c r="F4" i="12" l="1"/>
  <c r="E4" i="12"/>
  <c r="C13" i="12" s="1"/>
  <c r="P14" i="3" l="1"/>
  <c r="E7" i="5" s="1"/>
  <c r="C9" i="1"/>
  <c r="C8" i="1"/>
  <c r="C7" i="1"/>
  <c r="C6" i="1"/>
  <c r="C5" i="1"/>
  <c r="Y23" i="6"/>
  <c r="Y22" i="6"/>
  <c r="Y21" i="6"/>
  <c r="Y20" i="6"/>
  <c r="Y19" i="6"/>
  <c r="Y18" i="6"/>
  <c r="Y17" i="6"/>
  <c r="Y16" i="6"/>
  <c r="Y15" i="6"/>
  <c r="Y14" i="6"/>
  <c r="Y13" i="6"/>
  <c r="Y12" i="6"/>
  <c r="Y11" i="6"/>
  <c r="Y10" i="6"/>
  <c r="Y9" i="6"/>
  <c r="Y8" i="6"/>
  <c r="Y7" i="6"/>
  <c r="Y6" i="6"/>
  <c r="Y5" i="6"/>
  <c r="Y4" i="6"/>
  <c r="AA1" i="1"/>
  <c r="AI14" i="5"/>
  <c r="AI12" i="5"/>
  <c r="AI10" i="5"/>
  <c r="AI8" i="5"/>
  <c r="AI5" i="5"/>
  <c r="Q4" i="7"/>
  <c r="O4" i="7"/>
  <c r="M4" i="7"/>
  <c r="K4" i="7"/>
  <c r="I4" i="7"/>
  <c r="G4" i="7"/>
  <c r="E4" i="7"/>
  <c r="N23" i="6"/>
  <c r="O23" i="6" s="1"/>
  <c r="N22" i="6"/>
  <c r="O22" i="6" s="1"/>
  <c r="N21" i="6"/>
  <c r="O21" i="6" s="1"/>
  <c r="N20" i="6"/>
  <c r="O20" i="6" s="1"/>
  <c r="N19" i="6"/>
  <c r="O19" i="6" s="1"/>
  <c r="N18" i="6"/>
  <c r="O18" i="6" s="1"/>
  <c r="N17" i="6"/>
  <c r="O17" i="6" s="1"/>
  <c r="N16" i="6"/>
  <c r="O16" i="6" s="1"/>
  <c r="N15" i="6"/>
  <c r="O15" i="6" s="1"/>
  <c r="N14" i="6"/>
  <c r="O14" i="6" s="1"/>
  <c r="N13" i="6"/>
  <c r="O13" i="6" s="1"/>
  <c r="N12" i="6"/>
  <c r="O12" i="6" s="1"/>
  <c r="N11" i="6"/>
  <c r="O11" i="6" s="1"/>
  <c r="N10" i="6"/>
  <c r="O10" i="6" s="1"/>
  <c r="N9" i="6"/>
  <c r="O9" i="6" s="1"/>
  <c r="B22" i="7"/>
  <c r="B21" i="7"/>
  <c r="B20" i="7"/>
  <c r="B19" i="7"/>
  <c r="B18" i="7"/>
  <c r="B17" i="7"/>
  <c r="B16" i="7"/>
  <c r="B15" i="7"/>
  <c r="B14" i="7"/>
  <c r="B13" i="7"/>
  <c r="B12" i="7"/>
  <c r="B11" i="7"/>
  <c r="B10" i="7"/>
  <c r="B9" i="7"/>
  <c r="B8" i="7"/>
  <c r="B7" i="7"/>
  <c r="B6" i="7"/>
  <c r="C23" i="1"/>
  <c r="C21" i="1"/>
  <c r="C20" i="1"/>
  <c r="C19" i="1"/>
  <c r="C18" i="1"/>
  <c r="C17" i="1"/>
  <c r="C16" i="1"/>
  <c r="C15" i="1"/>
  <c r="C14" i="1"/>
  <c r="C13" i="1"/>
  <c r="C12" i="1"/>
  <c r="C11" i="1"/>
  <c r="C10" i="1"/>
  <c r="C4" i="1"/>
  <c r="C22" i="1"/>
  <c r="S21" i="3"/>
  <c r="AB19" i="5"/>
  <c r="AD19" i="5" s="1"/>
  <c r="AB18" i="5"/>
  <c r="AD18" i="5" s="1"/>
  <c r="AB17" i="5"/>
  <c r="AD17" i="5"/>
  <c r="AB16" i="5"/>
  <c r="AD16" i="5"/>
  <c r="AB15" i="5"/>
  <c r="AD15" i="5"/>
  <c r="AB14" i="5"/>
  <c r="AD14" i="5"/>
  <c r="AB13" i="5"/>
  <c r="AD13" i="5" s="1"/>
  <c r="AB12" i="5"/>
  <c r="AD12" i="5" s="1"/>
  <c r="AB11" i="5"/>
  <c r="AD11" i="5"/>
  <c r="AB10" i="5"/>
  <c r="AD10" i="5"/>
  <c r="AB9" i="5"/>
  <c r="AD9" i="5"/>
  <c r="AB8" i="5"/>
  <c r="AD8" i="5"/>
  <c r="AB7" i="5"/>
  <c r="AD7" i="5" s="1"/>
  <c r="AB6" i="5"/>
  <c r="AD6" i="5" s="1"/>
  <c r="AB5" i="5"/>
  <c r="AD5" i="5"/>
  <c r="AB4" i="5"/>
  <c r="AD4" i="5"/>
  <c r="AB3" i="5"/>
  <c r="AD3" i="5"/>
  <c r="N8" i="6"/>
  <c r="O8" i="6" s="1"/>
  <c r="B16" i="6"/>
  <c r="G16" i="1" s="1"/>
  <c r="B19" i="6"/>
  <c r="D19" i="6" s="1"/>
  <c r="B11" i="6"/>
  <c r="G11" i="1" s="1"/>
  <c r="B8" i="6"/>
  <c r="D8" i="6" s="1"/>
  <c r="B13" i="6"/>
  <c r="D13" i="6" s="1"/>
  <c r="B12" i="6"/>
  <c r="D12" i="6" s="1"/>
  <c r="B14" i="6"/>
  <c r="D14" i="6" s="1"/>
  <c r="G14" i="1"/>
  <c r="G14" i="6" s="1"/>
  <c r="B9" i="6"/>
  <c r="D9" i="6" s="1"/>
  <c r="B17" i="6"/>
  <c r="D17" i="6" s="1"/>
  <c r="B21" i="6"/>
  <c r="D21" i="6" s="1"/>
  <c r="B10" i="6"/>
  <c r="G10" i="1" s="1"/>
  <c r="B23" i="6"/>
  <c r="G23" i="1" s="1"/>
  <c r="B20" i="6"/>
  <c r="G20" i="1" s="1"/>
  <c r="B18" i="6"/>
  <c r="D18" i="6" s="1"/>
  <c r="B22" i="6"/>
  <c r="G22" i="1" s="1"/>
  <c r="B15" i="6"/>
  <c r="D15" i="6" s="1"/>
  <c r="G8" i="1"/>
  <c r="E8" i="6" s="1"/>
  <c r="N7" i="6"/>
  <c r="O7" i="6" s="1"/>
  <c r="N6" i="6"/>
  <c r="O6" i="6" s="1"/>
  <c r="N5" i="6"/>
  <c r="O5" i="6" s="1"/>
  <c r="G18" i="1"/>
  <c r="C18" i="6" s="1"/>
  <c r="B5" i="6"/>
  <c r="G5" i="1" s="1"/>
  <c r="B6" i="6"/>
  <c r="D6" i="6" s="1"/>
  <c r="B7" i="6"/>
  <c r="G7" i="1" s="1"/>
  <c r="G6" i="1" l="1"/>
  <c r="Q6" i="6" s="1"/>
  <c r="D7" i="6"/>
  <c r="D16" i="6"/>
  <c r="G15" i="1"/>
  <c r="C15" i="6" s="1"/>
  <c r="D11" i="6"/>
  <c r="L14" i="6"/>
  <c r="H15" i="6"/>
  <c r="AI15" i="1" s="1"/>
  <c r="AJ15" i="1" s="1"/>
  <c r="G12" i="1"/>
  <c r="E6" i="6"/>
  <c r="AD14" i="1"/>
  <c r="AH15" i="1"/>
  <c r="G19" i="1"/>
  <c r="Q19" i="6" s="1"/>
  <c r="AB6" i="1"/>
  <c r="K6" i="6" s="1"/>
  <c r="AD18" i="1"/>
  <c r="F6" i="6"/>
  <c r="AC6" i="1" s="1"/>
  <c r="G15" i="6"/>
  <c r="H6" i="6"/>
  <c r="AI6" i="1" s="1"/>
  <c r="AJ6" i="1" s="1"/>
  <c r="G6" i="6"/>
  <c r="AD15" i="1"/>
  <c r="G17" i="1"/>
  <c r="G17" i="6" s="1"/>
  <c r="D5" i="6"/>
  <c r="E14" i="6"/>
  <c r="D23" i="6"/>
  <c r="F14" i="6"/>
  <c r="AC14" i="1" s="1"/>
  <c r="L6" i="6"/>
  <c r="L15" i="6"/>
  <c r="AH6" i="1"/>
  <c r="G9" i="1"/>
  <c r="H9" i="6" s="1"/>
  <c r="AI9" i="1" s="1"/>
  <c r="AJ9" i="1" s="1"/>
  <c r="Q15" i="6"/>
  <c r="C6" i="6"/>
  <c r="F18" i="6"/>
  <c r="AC18" i="1" s="1"/>
  <c r="E15" i="6"/>
  <c r="AD6" i="1"/>
  <c r="AB18" i="1"/>
  <c r="K18" i="6" s="1"/>
  <c r="E12" i="5"/>
  <c r="N4" i="6"/>
  <c r="O4" i="6" s="1"/>
  <c r="E6" i="5"/>
  <c r="G11" i="5"/>
  <c r="G15" i="5"/>
  <c r="G13" i="5"/>
  <c r="G3" i="5"/>
  <c r="E21" i="5"/>
  <c r="A14" i="6" s="1"/>
  <c r="G19" i="5"/>
  <c r="E3" i="5"/>
  <c r="G6" i="5"/>
  <c r="E9" i="5"/>
  <c r="G10" i="5"/>
  <c r="G5" i="5"/>
  <c r="G7" i="5"/>
  <c r="E14" i="5"/>
  <c r="G8" i="5"/>
  <c r="G4" i="5"/>
  <c r="B1" i="1"/>
  <c r="E5" i="5"/>
  <c r="E8" i="5"/>
  <c r="E15" i="5"/>
  <c r="G17" i="5"/>
  <c r="G14" i="5"/>
  <c r="E4" i="5"/>
  <c r="G18" i="5"/>
  <c r="G9" i="5"/>
  <c r="G16" i="5"/>
  <c r="E10" i="5"/>
  <c r="N46" i="3"/>
  <c r="E11" i="5"/>
  <c r="E13" i="5"/>
  <c r="G12" i="5"/>
  <c r="E22" i="6"/>
  <c r="L22" i="6"/>
  <c r="G22" i="6"/>
  <c r="AB22" i="1"/>
  <c r="Q22" i="6"/>
  <c r="F22" i="6"/>
  <c r="AC22" i="1" s="1"/>
  <c r="H22" i="6"/>
  <c r="AI22" i="1" s="1"/>
  <c r="P22" i="6" s="1"/>
  <c r="C22" i="6"/>
  <c r="AD22" i="1"/>
  <c r="AH22" i="1"/>
  <c r="AB5" i="1"/>
  <c r="G5" i="6"/>
  <c r="F5" i="6"/>
  <c r="AC5" i="1" s="1"/>
  <c r="H5" i="6"/>
  <c r="AI5" i="1" s="1"/>
  <c r="AJ5" i="1" s="1"/>
  <c r="E5" i="6"/>
  <c r="AH5" i="1"/>
  <c r="AD5" i="1"/>
  <c r="Q5" i="6"/>
  <c r="C5" i="6"/>
  <c r="L5" i="6"/>
  <c r="C23" i="6"/>
  <c r="AB23" i="1"/>
  <c r="AH23" i="1"/>
  <c r="H23" i="6"/>
  <c r="AI23" i="1" s="1"/>
  <c r="AJ23" i="1" s="1"/>
  <c r="F23" i="6"/>
  <c r="AC23" i="1" s="1"/>
  <c r="L23" i="6"/>
  <c r="Q23" i="6"/>
  <c r="AD23" i="1"/>
  <c r="E23" i="6"/>
  <c r="G23" i="6"/>
  <c r="C16" i="6"/>
  <c r="L16" i="6"/>
  <c r="E16" i="6"/>
  <c r="Q16" i="6"/>
  <c r="H16" i="6"/>
  <c r="AI16" i="1" s="1"/>
  <c r="Z16" i="6" s="1"/>
  <c r="AD16" i="1"/>
  <c r="AB16" i="1"/>
  <c r="J16" i="6" s="1"/>
  <c r="F16" i="6"/>
  <c r="AC16" i="1" s="1"/>
  <c r="AH16" i="1"/>
  <c r="G16" i="6"/>
  <c r="L10" i="6"/>
  <c r="F10" i="6"/>
  <c r="AC10" i="1" s="1"/>
  <c r="E10" i="6"/>
  <c r="AB10" i="1"/>
  <c r="Q10" i="6"/>
  <c r="C10" i="6"/>
  <c r="AH10" i="1"/>
  <c r="G10" i="6"/>
  <c r="AD10" i="1"/>
  <c r="H10" i="6"/>
  <c r="AI10" i="1" s="1"/>
  <c r="P10" i="6" s="1"/>
  <c r="E11" i="6"/>
  <c r="AB11" i="1"/>
  <c r="H11" i="6"/>
  <c r="AI11" i="1" s="1"/>
  <c r="Z11" i="6" s="1"/>
  <c r="L11" i="6"/>
  <c r="AD11" i="1"/>
  <c r="AH11" i="1"/>
  <c r="Q11" i="6"/>
  <c r="C11" i="6"/>
  <c r="F11" i="6"/>
  <c r="AC11" i="1" s="1"/>
  <c r="G11" i="6"/>
  <c r="AH7" i="1"/>
  <c r="L7" i="6"/>
  <c r="F7" i="6"/>
  <c r="AC7" i="1" s="1"/>
  <c r="Q7" i="6"/>
  <c r="C7" i="6"/>
  <c r="G7" i="6"/>
  <c r="H7" i="6"/>
  <c r="AI7" i="1" s="1"/>
  <c r="AJ7" i="1" s="1"/>
  <c r="AD7" i="1"/>
  <c r="E7" i="6"/>
  <c r="AB7" i="1"/>
  <c r="AD20" i="1"/>
  <c r="G20" i="6"/>
  <c r="L20" i="6"/>
  <c r="H20" i="6"/>
  <c r="AI20" i="1" s="1"/>
  <c r="Z20" i="6" s="1"/>
  <c r="Q20" i="6"/>
  <c r="C20" i="6"/>
  <c r="F20" i="6"/>
  <c r="AC20" i="1" s="1"/>
  <c r="AH20" i="1"/>
  <c r="E20" i="6"/>
  <c r="AB20" i="1"/>
  <c r="E18" i="6"/>
  <c r="AH14" i="1"/>
  <c r="AD17" i="1"/>
  <c r="G13" i="1"/>
  <c r="F17" i="6"/>
  <c r="AC17" i="1" s="1"/>
  <c r="L18" i="6"/>
  <c r="AB8" i="1"/>
  <c r="AH19" i="1"/>
  <c r="L8" i="6"/>
  <c r="D22" i="6"/>
  <c r="Q8" i="6"/>
  <c r="Q14" i="6"/>
  <c r="AH8" i="1"/>
  <c r="D20" i="6"/>
  <c r="H17" i="6"/>
  <c r="AI17" i="1" s="1"/>
  <c r="AH18" i="1"/>
  <c r="AB14" i="1"/>
  <c r="AB17" i="1"/>
  <c r="Q18" i="6"/>
  <c r="E17" i="6"/>
  <c r="C14" i="6"/>
  <c r="Q17" i="6"/>
  <c r="D10" i="6"/>
  <c r="H18" i="6"/>
  <c r="AI18" i="1" s="1"/>
  <c r="AJ18" i="1" s="1"/>
  <c r="C8" i="6"/>
  <c r="AH17" i="1"/>
  <c r="G18" i="6"/>
  <c r="H8" i="6"/>
  <c r="AI8" i="1" s="1"/>
  <c r="P8" i="6" s="1"/>
  <c r="AD8" i="1"/>
  <c r="H14" i="6"/>
  <c r="AI14" i="1" s="1"/>
  <c r="G8" i="6"/>
  <c r="L17" i="6"/>
  <c r="F8" i="6"/>
  <c r="AC8" i="1" s="1"/>
  <c r="G21" i="1"/>
  <c r="C17" i="6"/>
  <c r="Z23" i="6"/>
  <c r="F19" i="6" l="1"/>
  <c r="AC19" i="1" s="1"/>
  <c r="Z15" i="6"/>
  <c r="Z5" i="6"/>
  <c r="P20" i="6"/>
  <c r="K16" i="6"/>
  <c r="M16" i="6" s="1"/>
  <c r="I16" i="6" s="1"/>
  <c r="P6" i="6"/>
  <c r="J18" i="6"/>
  <c r="AJ22" i="1"/>
  <c r="P5" i="6"/>
  <c r="L9" i="6"/>
  <c r="J6" i="6"/>
  <c r="AJ20" i="1"/>
  <c r="AB15" i="1"/>
  <c r="F15" i="6"/>
  <c r="AC15" i="1" s="1"/>
  <c r="H19" i="6"/>
  <c r="AI19" i="1" s="1"/>
  <c r="Z19" i="6" s="1"/>
  <c r="E19" i="6"/>
  <c r="G19" i="6"/>
  <c r="P15" i="6"/>
  <c r="AH9" i="1"/>
  <c r="AB19" i="1"/>
  <c r="J19" i="6" s="1"/>
  <c r="L19" i="6"/>
  <c r="AD19" i="1"/>
  <c r="F9" i="6"/>
  <c r="AC9" i="1" s="1"/>
  <c r="C19" i="6"/>
  <c r="C12" i="6"/>
  <c r="L12" i="6"/>
  <c r="H12" i="6"/>
  <c r="AI12" i="1" s="1"/>
  <c r="AB12" i="1"/>
  <c r="AH12" i="1"/>
  <c r="E12" i="6"/>
  <c r="Q12" i="6"/>
  <c r="AD12" i="1"/>
  <c r="F12" i="6"/>
  <c r="AC12" i="1" s="1"/>
  <c r="G12" i="6"/>
  <c r="Z6" i="6"/>
  <c r="M18" i="6"/>
  <c r="I18" i="6" s="1"/>
  <c r="Z22" i="6"/>
  <c r="P7" i="6"/>
  <c r="Z9" i="6"/>
  <c r="P16" i="6"/>
  <c r="AJ16" i="1"/>
  <c r="E9" i="6"/>
  <c r="AD9" i="1"/>
  <c r="Q9" i="6"/>
  <c r="G9" i="6"/>
  <c r="AB9" i="1"/>
  <c r="C9" i="6"/>
  <c r="M6" i="6"/>
  <c r="I6" i="6" s="1"/>
  <c r="P23" i="6"/>
  <c r="P9" i="6"/>
  <c r="A4" i="6"/>
  <c r="B4" i="6" s="1"/>
  <c r="G4" i="1" s="1"/>
  <c r="A17" i="6"/>
  <c r="A18" i="6"/>
  <c r="A23" i="6"/>
  <c r="A20" i="6"/>
  <c r="A5" i="6"/>
  <c r="A11" i="6"/>
  <c r="A15" i="6"/>
  <c r="A13" i="6"/>
  <c r="A16" i="6"/>
  <c r="A19" i="6"/>
  <c r="A9" i="6"/>
  <c r="A12" i="6"/>
  <c r="A21" i="6"/>
  <c r="A6" i="6"/>
  <c r="A7" i="6"/>
  <c r="A22" i="6"/>
  <c r="A10" i="6"/>
  <c r="A8" i="6"/>
  <c r="K5" i="6"/>
  <c r="M5" i="6" s="1"/>
  <c r="I5" i="6" s="1"/>
  <c r="J5" i="6"/>
  <c r="K14" i="6"/>
  <c r="M14" i="6" s="1"/>
  <c r="I14" i="6" s="1"/>
  <c r="J14" i="6"/>
  <c r="Z10" i="6"/>
  <c r="AJ10" i="1"/>
  <c r="Z8" i="6"/>
  <c r="AJ8" i="1"/>
  <c r="J7" i="6"/>
  <c r="K7" i="6"/>
  <c r="M7" i="6" s="1"/>
  <c r="I7" i="6" s="1"/>
  <c r="J23" i="6"/>
  <c r="K23" i="6"/>
  <c r="M23" i="6" s="1"/>
  <c r="I23" i="6" s="1"/>
  <c r="Z18" i="6"/>
  <c r="P18" i="6"/>
  <c r="K8" i="6"/>
  <c r="M8" i="6" s="1"/>
  <c r="I8" i="6" s="1"/>
  <c r="J8" i="6"/>
  <c r="K20" i="6"/>
  <c r="M20" i="6" s="1"/>
  <c r="I20" i="6" s="1"/>
  <c r="J20" i="6"/>
  <c r="J22" i="6"/>
  <c r="K22" i="6"/>
  <c r="M22" i="6" s="1"/>
  <c r="I22" i="6" s="1"/>
  <c r="J17" i="6"/>
  <c r="K17" i="6"/>
  <c r="M17" i="6" s="1"/>
  <c r="I17" i="6" s="1"/>
  <c r="AJ14" i="1"/>
  <c r="Z14" i="6"/>
  <c r="P17" i="6"/>
  <c r="AJ17" i="1"/>
  <c r="Z17" i="6"/>
  <c r="K10" i="6"/>
  <c r="M10" i="6" s="1"/>
  <c r="I10" i="6" s="1"/>
  <c r="J10" i="6"/>
  <c r="Z7" i="6"/>
  <c r="C21" i="6"/>
  <c r="E21" i="6"/>
  <c r="F21" i="6"/>
  <c r="AC21" i="1" s="1"/>
  <c r="AH21" i="1"/>
  <c r="L21" i="6"/>
  <c r="H21" i="6"/>
  <c r="AI21" i="1" s="1"/>
  <c r="AD21" i="1"/>
  <c r="AB21" i="1"/>
  <c r="G21" i="6"/>
  <c r="Q21" i="6"/>
  <c r="P11" i="6"/>
  <c r="AJ11" i="1"/>
  <c r="AH13" i="1"/>
  <c r="C13" i="6"/>
  <c r="L13" i="6"/>
  <c r="Q13" i="6"/>
  <c r="AD13" i="1"/>
  <c r="G13" i="6"/>
  <c r="H13" i="6"/>
  <c r="AI13" i="1" s="1"/>
  <c r="P13" i="6" s="1"/>
  <c r="E13" i="6"/>
  <c r="AB13" i="1"/>
  <c r="F13" i="6"/>
  <c r="AC13" i="1" s="1"/>
  <c r="K11" i="6"/>
  <c r="M11" i="6" s="1"/>
  <c r="I11" i="6" s="1"/>
  <c r="J11" i="6"/>
  <c r="P14" i="6"/>
  <c r="K19" i="6" l="1"/>
  <c r="M19" i="6" s="1"/>
  <c r="I19" i="6" s="1"/>
  <c r="J15" i="6"/>
  <c r="K15" i="6"/>
  <c r="M15" i="6" s="1"/>
  <c r="I15" i="6" s="1"/>
  <c r="AJ12" i="1"/>
  <c r="Z12" i="6"/>
  <c r="P12" i="6"/>
  <c r="AJ19" i="1"/>
  <c r="P19" i="6"/>
  <c r="K12" i="6"/>
  <c r="M12" i="6" s="1"/>
  <c r="I12" i="6" s="1"/>
  <c r="J12" i="6"/>
  <c r="J9" i="6"/>
  <c r="K9" i="6"/>
  <c r="M9" i="6" s="1"/>
  <c r="I9" i="6" s="1"/>
  <c r="D4" i="6"/>
  <c r="K13" i="6"/>
  <c r="M13" i="6" s="1"/>
  <c r="I13" i="6" s="1"/>
  <c r="J13" i="6"/>
  <c r="Z13" i="6"/>
  <c r="AJ13" i="1"/>
  <c r="P21" i="6"/>
  <c r="AJ21" i="1"/>
  <c r="Z21" i="6"/>
  <c r="J21" i="6"/>
  <c r="K21" i="6"/>
  <c r="M21" i="6" s="1"/>
  <c r="I21" i="6" s="1"/>
  <c r="Q4" i="6" l="1"/>
  <c r="AH4" i="1"/>
  <c r="AF12" i="5"/>
  <c r="E4" i="6"/>
  <c r="AF10" i="5"/>
  <c r="AF13" i="5"/>
  <c r="AF16" i="5"/>
  <c r="AF6" i="5"/>
  <c r="AF4" i="5"/>
  <c r="AF5" i="5"/>
  <c r="AD4" i="1"/>
  <c r="AF9" i="5"/>
  <c r="AF18" i="5"/>
  <c r="AF15" i="5"/>
  <c r="AF19" i="5"/>
  <c r="L4" i="6"/>
  <c r="C4" i="6"/>
  <c r="AB4" i="1"/>
  <c r="AF3" i="5"/>
  <c r="AF7" i="5"/>
  <c r="AF14" i="5"/>
  <c r="AF17" i="5"/>
  <c r="AF11" i="5"/>
  <c r="AF8" i="5"/>
  <c r="E12" i="11"/>
  <c r="E10" i="12"/>
  <c r="D11" i="11" l="1"/>
  <c r="E10" i="11"/>
  <c r="C7" i="11"/>
  <c r="C7" i="12"/>
  <c r="D11" i="12"/>
  <c r="D9" i="11"/>
  <c r="E8" i="11"/>
  <c r="E8" i="12"/>
  <c r="D9" i="12"/>
  <c r="AF21" i="5"/>
  <c r="O12" i="3" s="1"/>
  <c r="K4" i="6"/>
  <c r="M4" i="6" s="1"/>
  <c r="F4" i="6"/>
  <c r="AC4" i="1" s="1"/>
  <c r="AF22" i="5"/>
  <c r="U12" i="3" s="1"/>
  <c r="I4" i="6" l="1"/>
  <c r="J4" i="6" s="1"/>
  <c r="G4" i="6"/>
  <c r="H4" i="6" s="1"/>
  <c r="AI4" i="1" s="1"/>
  <c r="AJ4" i="1" l="1"/>
  <c r="Z4" i="6"/>
  <c r="B19" i="3"/>
  <c r="P4" i="6"/>
  <c r="B13" i="14" l="1"/>
  <c r="B8" i="14"/>
  <c r="E7" i="13"/>
  <c r="C8" i="13"/>
  <c r="Q21" i="7"/>
  <c r="Q13" i="7"/>
  <c r="R6" i="7"/>
  <c r="G12" i="7"/>
  <c r="G17" i="7"/>
  <c r="M12" i="7"/>
  <c r="I6" i="7"/>
  <c r="E17" i="7"/>
  <c r="N17" i="7"/>
  <c r="Q20" i="7"/>
  <c r="P13" i="7"/>
  <c r="J7" i="7"/>
  <c r="O16" i="7"/>
  <c r="L17" i="7"/>
  <c r="H9" i="7"/>
  <c r="K12" i="7"/>
  <c r="F21" i="7"/>
  <c r="J6" i="7"/>
  <c r="F17" i="7"/>
  <c r="K7" i="7"/>
  <c r="O17" i="7"/>
  <c r="O13" i="7"/>
  <c r="I16" i="7"/>
  <c r="J21" i="7"/>
  <c r="P19" i="7"/>
  <c r="K15" i="7"/>
  <c r="H13" i="7"/>
  <c r="G18" i="7"/>
  <c r="F8" i="7"/>
  <c r="H20" i="7"/>
  <c r="K22" i="7"/>
  <c r="R16" i="7"/>
  <c r="R17" i="7"/>
  <c r="G6" i="7"/>
  <c r="P15" i="7"/>
  <c r="E22" i="7"/>
  <c r="M19" i="7"/>
  <c r="J14" i="7"/>
  <c r="F13" i="7"/>
  <c r="H10" i="7"/>
  <c r="F14" i="7"/>
  <c r="G10" i="7"/>
  <c r="F19" i="7"/>
  <c r="H18" i="7"/>
  <c r="E10" i="7"/>
  <c r="M11" i="7"/>
  <c r="G21" i="7"/>
  <c r="E7" i="7"/>
  <c r="R20" i="7"/>
  <c r="N18" i="7"/>
  <c r="K17" i="7"/>
  <c r="L10" i="7"/>
  <c r="R22" i="7"/>
  <c r="I20" i="7"/>
  <c r="M10" i="7"/>
  <c r="J19" i="7"/>
  <c r="E21" i="7"/>
  <c r="J8" i="7"/>
  <c r="H21" i="7"/>
  <c r="L13" i="7"/>
  <c r="M15" i="7"/>
  <c r="F9" i="7"/>
  <c r="G8" i="7"/>
  <c r="N8" i="7"/>
  <c r="G7" i="7"/>
  <c r="N6" i="7"/>
  <c r="E15" i="7"/>
  <c r="L16" i="7"/>
  <c r="M9" i="7"/>
  <c r="H8" i="7"/>
  <c r="E12" i="7"/>
  <c r="R14" i="7"/>
  <c r="N10" i="7"/>
  <c r="E11" i="7"/>
  <c r="F20" i="7"/>
  <c r="N7" i="7"/>
  <c r="L11" i="7"/>
  <c r="R8" i="7"/>
  <c r="P14" i="7"/>
  <c r="J13" i="7"/>
  <c r="R12" i="7"/>
  <c r="Q15" i="7"/>
  <c r="N19" i="7"/>
  <c r="H16" i="7"/>
  <c r="F6" i="7"/>
  <c r="M18" i="7"/>
  <c r="H6" i="7"/>
  <c r="L15" i="7"/>
  <c r="Q11" i="7"/>
  <c r="P17" i="7"/>
  <c r="I13" i="7"/>
  <c r="K20" i="7"/>
  <c r="Q12" i="7"/>
  <c r="H14" i="7"/>
  <c r="M13" i="7"/>
  <c r="R13" i="7"/>
  <c r="G15" i="7"/>
  <c r="Q22" i="7"/>
  <c r="L8" i="7"/>
  <c r="M6" i="7"/>
  <c r="I17" i="7"/>
  <c r="L14" i="7"/>
  <c r="O20" i="7"/>
  <c r="F12" i="7"/>
  <c r="H11" i="7"/>
  <c r="F15" i="7"/>
  <c r="O15" i="7"/>
  <c r="K10" i="7"/>
  <c r="I10" i="7"/>
  <c r="L21" i="7"/>
  <c r="K13" i="7"/>
  <c r="P12" i="7"/>
  <c r="J20" i="7"/>
  <c r="N14" i="7"/>
  <c r="O7" i="7"/>
  <c r="J11" i="7"/>
  <c r="I8" i="7"/>
  <c r="P8" i="7"/>
  <c r="K6" i="7"/>
  <c r="M21" i="7"/>
  <c r="I14" i="7"/>
  <c r="G19" i="7"/>
  <c r="O9" i="7"/>
  <c r="R21" i="7"/>
  <c r="L22" i="7"/>
  <c r="N16" i="7"/>
  <c r="H7" i="7"/>
  <c r="H17" i="7"/>
  <c r="P18" i="7"/>
  <c r="M14" i="7"/>
  <c r="L9" i="7"/>
  <c r="J10" i="7"/>
  <c r="Q7" i="7"/>
  <c r="N9" i="7"/>
  <c r="F16" i="7"/>
  <c r="N13" i="7"/>
  <c r="M17" i="7"/>
  <c r="J15" i="7"/>
  <c r="P6" i="7"/>
  <c r="R9" i="7"/>
  <c r="E13" i="7"/>
  <c r="I22" i="7"/>
  <c r="K9" i="7"/>
  <c r="N21" i="7"/>
  <c r="O22" i="7"/>
  <c r="F22" i="7"/>
  <c r="M8" i="7"/>
  <c r="N22" i="7"/>
  <c r="Q8" i="7"/>
  <c r="E9" i="7"/>
  <c r="O6" i="7"/>
  <c r="P16" i="7"/>
  <c r="Q18" i="7"/>
  <c r="O11" i="7"/>
  <c r="N15" i="7"/>
  <c r="G20" i="7"/>
  <c r="K11" i="7"/>
  <c r="K18" i="7"/>
  <c r="I18" i="7"/>
  <c r="H19" i="7"/>
  <c r="O12" i="7"/>
  <c r="J18" i="7"/>
  <c r="H15" i="7"/>
  <c r="P9" i="7"/>
  <c r="J12" i="7"/>
  <c r="P7" i="7"/>
  <c r="L12" i="7"/>
  <c r="L20" i="7"/>
  <c r="K21" i="7"/>
  <c r="O14" i="7"/>
  <c r="I7" i="7"/>
  <c r="E6" i="7"/>
  <c r="F7" i="7"/>
  <c r="K16" i="7"/>
  <c r="G11" i="7"/>
  <c r="J16" i="7"/>
  <c r="R10" i="7"/>
  <c r="M22" i="7"/>
  <c r="F18" i="7"/>
  <c r="H22" i="7"/>
  <c r="I21" i="7"/>
  <c r="L18" i="7"/>
  <c r="E16" i="7"/>
  <c r="R15" i="7"/>
  <c r="I12" i="7"/>
  <c r="G9" i="7"/>
  <c r="O21" i="7"/>
  <c r="F11" i="7"/>
  <c r="P22" i="7"/>
  <c r="L19" i="7"/>
  <c r="E19" i="7"/>
  <c r="Q6" i="7"/>
  <c r="I19" i="7"/>
  <c r="O19" i="7"/>
  <c r="I9" i="7"/>
  <c r="M7" i="7"/>
  <c r="L6" i="7"/>
  <c r="R7" i="7"/>
  <c r="P20" i="7"/>
  <c r="K19" i="7"/>
  <c r="G14" i="7"/>
  <c r="H12" i="7"/>
  <c r="Q9" i="7"/>
  <c r="O18" i="7"/>
  <c r="N20" i="7"/>
  <c r="J17" i="7"/>
  <c r="I11" i="7"/>
  <c r="L7" i="7"/>
  <c r="K8" i="7"/>
  <c r="E8" i="7"/>
  <c r="Q17" i="7"/>
  <c r="E14" i="7"/>
  <c r="R18" i="7"/>
  <c r="Q19" i="7"/>
  <c r="G22" i="7"/>
  <c r="Q16" i="7"/>
  <c r="N11" i="7"/>
  <c r="O10" i="7"/>
  <c r="Q14" i="7"/>
  <c r="R19" i="7"/>
  <c r="M16" i="7"/>
  <c r="E18" i="7"/>
  <c r="N12" i="7"/>
  <c r="J22" i="7"/>
  <c r="Q10" i="7"/>
  <c r="E20" i="7"/>
  <c r="F10" i="7"/>
  <c r="M20" i="7"/>
  <c r="G16" i="7"/>
  <c r="R11" i="7"/>
  <c r="G13" i="7"/>
  <c r="K14" i="7"/>
  <c r="P11" i="7"/>
  <c r="O8" i="7"/>
  <c r="P10" i="7"/>
  <c r="I15" i="7"/>
  <c r="P21" i="7"/>
  <c r="J9" i="7"/>
  <c r="AE9" i="5"/>
  <c r="H6" i="3" s="1"/>
  <c r="AE17" i="5"/>
  <c r="F4" i="3" s="1"/>
  <c r="AE11" i="5"/>
  <c r="H10" i="3" s="1"/>
  <c r="AE4" i="5"/>
  <c r="B8" i="3" s="1"/>
  <c r="AE7" i="5"/>
  <c r="B14" i="3" s="1"/>
  <c r="AE10" i="5"/>
  <c r="H8" i="3" s="1"/>
  <c r="AE12" i="5"/>
  <c r="H12" i="3" s="1"/>
  <c r="AE13" i="5"/>
  <c r="H14" i="3" s="1"/>
  <c r="AE5" i="5"/>
  <c r="B10" i="3" s="1"/>
  <c r="AE16" i="5"/>
  <c r="D4" i="3" s="1"/>
  <c r="AE6" i="5"/>
  <c r="B12" i="3" s="1"/>
  <c r="AE14" i="5"/>
  <c r="H16" i="3" s="1"/>
  <c r="AE3" i="5"/>
  <c r="B6" i="3" s="1"/>
  <c r="AE8" i="5"/>
  <c r="B16" i="3" s="1"/>
  <c r="AE18" i="5"/>
  <c r="H4" i="3" s="1"/>
  <c r="AE15" i="5"/>
  <c r="B4" i="3" s="1"/>
  <c r="AE19" i="5"/>
  <c r="J4" i="3" s="1"/>
  <c r="C12" i="13"/>
  <c r="B9" i="13"/>
  <c r="C10" i="13"/>
  <c r="B9" i="14"/>
  <c r="C10" i="14"/>
  <c r="C22" i="7" l="1"/>
  <c r="D10" i="7"/>
  <c r="C20" i="7"/>
  <c r="C19" i="7"/>
  <c r="D18" i="7"/>
  <c r="C12" i="7"/>
  <c r="Q23" i="7"/>
  <c r="C7" i="7"/>
  <c r="D15" i="7"/>
  <c r="D8" i="7"/>
  <c r="G23" i="7"/>
  <c r="K23" i="7"/>
  <c r="C13" i="7"/>
  <c r="C21" i="7"/>
  <c r="C14" i="7"/>
  <c r="D11" i="7"/>
  <c r="D12" i="7"/>
  <c r="C17" i="7"/>
  <c r="O23" i="7"/>
  <c r="P23" i="7"/>
  <c r="C15" i="7"/>
  <c r="D19" i="7"/>
  <c r="D17" i="7"/>
  <c r="I23" i="7"/>
  <c r="C18" i="7"/>
  <c r="C8" i="7"/>
  <c r="C9" i="7"/>
  <c r="N23" i="7"/>
  <c r="J23" i="7"/>
  <c r="L23" i="7"/>
  <c r="D7" i="7"/>
  <c r="D14" i="7"/>
  <c r="D21" i="7"/>
  <c r="C6" i="7"/>
  <c r="E23" i="7"/>
  <c r="M23" i="7"/>
  <c r="C16" i="7"/>
  <c r="D16" i="7"/>
  <c r="H23" i="7"/>
  <c r="D20" i="7"/>
  <c r="D13" i="7"/>
  <c r="R23" i="7"/>
  <c r="D22" i="7"/>
  <c r="C11" i="7"/>
  <c r="D9" i="7"/>
  <c r="C10" i="7"/>
  <c r="F23" i="7"/>
  <c r="D6" i="7"/>
  <c r="D23" i="7" l="1"/>
  <c r="C23" i="7"/>
</calcChain>
</file>

<file path=xl/sharedStrings.xml><?xml version="1.0" encoding="utf-8"?>
<sst xmlns="http://schemas.openxmlformats.org/spreadsheetml/2006/main" count="383" uniqueCount="205">
  <si>
    <t>Falltechniken</t>
  </si>
  <si>
    <t>Weiterführungstechniken</t>
  </si>
  <si>
    <t>LE-/Lizenz-Nachweis</t>
  </si>
  <si>
    <t>Lehrgangs-Nachweis</t>
  </si>
  <si>
    <t>Anzahl der Prüfungsfächer</t>
  </si>
  <si>
    <t xml:space="preserve"> </t>
  </si>
  <si>
    <t>Anzahl der Prüfer</t>
  </si>
  <si>
    <t>Neuer Grad</t>
  </si>
  <si>
    <t>Lfd. Nr.</t>
  </si>
  <si>
    <t>Name, Vorname</t>
  </si>
  <si>
    <t>Verein</t>
  </si>
  <si>
    <t>geb. am</t>
  </si>
  <si>
    <t>Grad</t>
  </si>
  <si>
    <t>Bewertung:</t>
  </si>
  <si>
    <t>Unterschriften</t>
  </si>
  <si>
    <t>Datum</t>
  </si>
  <si>
    <t>Angriffs-/Partnerverhalten</t>
  </si>
  <si>
    <t>Letzte Prüfung bzw. Ju-Jutsu seit</t>
  </si>
  <si>
    <t>Stockabwehr/-anwendung</t>
  </si>
  <si>
    <t>Prüfungsliste für Kyu- und Dan-Prüfungen</t>
  </si>
  <si>
    <t xml:space="preserve">Bewegungsformen </t>
  </si>
  <si>
    <t xml:space="preserve">Bodentechniken </t>
  </si>
  <si>
    <t xml:space="preserve">Abwehrtechniken </t>
  </si>
  <si>
    <t xml:space="preserve">Atemitechniken </t>
  </si>
  <si>
    <t xml:space="preserve">Hebeltechniken </t>
  </si>
  <si>
    <t xml:space="preserve">Wurftechniken </t>
  </si>
  <si>
    <t xml:space="preserve">Gegentechniken </t>
  </si>
  <si>
    <t>Freie Selbstverteidigung</t>
  </si>
  <si>
    <t>Kombinationen/Vielfältigkeit</t>
  </si>
  <si>
    <t>Erste Hilfe</t>
  </si>
  <si>
    <t>Notwehr/Nothilfe</t>
  </si>
  <si>
    <t>Mindestpunktzahl alle Prüfer</t>
  </si>
  <si>
    <t>5 = sehr gut</t>
  </si>
  <si>
    <t>4 = gut</t>
  </si>
  <si>
    <t>3 = ausreichend</t>
  </si>
  <si>
    <t>2 = mangelhaft</t>
  </si>
  <si>
    <t>1 = ungenügend (nicht bestanden)</t>
  </si>
  <si>
    <t>Würge-/Nervendr'techniken</t>
  </si>
  <si>
    <t>1. Dan</t>
  </si>
  <si>
    <t>2. Dan</t>
  </si>
  <si>
    <t>3. Dan</t>
  </si>
  <si>
    <t>4. Dan</t>
  </si>
  <si>
    <t>6.I Kyu</t>
  </si>
  <si>
    <t>6.II Kyu</t>
  </si>
  <si>
    <t>5. Kyu</t>
  </si>
  <si>
    <t>5.I Kyu</t>
  </si>
  <si>
    <t>5.II Kyu</t>
  </si>
  <si>
    <t>4. Kyu</t>
  </si>
  <si>
    <t>4.I Kyu</t>
  </si>
  <si>
    <t>3. Kyu</t>
  </si>
  <si>
    <t>3.I Kyu</t>
  </si>
  <si>
    <t>2. Kyu</t>
  </si>
  <si>
    <t>2.I Kyu</t>
  </si>
  <si>
    <t>1. Kyu</t>
  </si>
  <si>
    <t>5. Dan</t>
  </si>
  <si>
    <t>6. Kyu</t>
  </si>
  <si>
    <t>2.I. Kyu</t>
  </si>
  <si>
    <t>Prüfungsbericht</t>
  </si>
  <si>
    <t>Die Prüfung haben bestanden:</t>
  </si>
  <si>
    <t>weiß mit Aufnäher</t>
  </si>
  <si>
    <t>weiß-gelb</t>
  </si>
  <si>
    <t>gelb</t>
  </si>
  <si>
    <t>gelb mit Aufnäher</t>
  </si>
  <si>
    <t>gelb-orange</t>
  </si>
  <si>
    <t>orange</t>
  </si>
  <si>
    <t>orange-grün</t>
  </si>
  <si>
    <t>grün</t>
  </si>
  <si>
    <t>grün-blau</t>
  </si>
  <si>
    <t>blau</t>
  </si>
  <si>
    <t>blau-braun</t>
  </si>
  <si>
    <t>braun</t>
  </si>
  <si>
    <t>Prüflinge haben nicht bestanden</t>
  </si>
  <si>
    <t>Welche Mängel wurden festgestellt:</t>
  </si>
  <si>
    <t>Vorschläge/Bemerkungen der Prüfer:</t>
  </si>
  <si>
    <t>Unterschrift des/der Prüfer/s</t>
  </si>
  <si>
    <t>Deutscher Ju-Jutsu Verband e.V.</t>
  </si>
  <si>
    <t>Prüfungsliste</t>
  </si>
  <si>
    <t>für Ju-Jutsu Kyu- bzw. Dan-Prüfungen</t>
  </si>
  <si>
    <t>Datum:</t>
  </si>
  <si>
    <t>Beginn:</t>
  </si>
  <si>
    <t>Uhr</t>
  </si>
  <si>
    <t>Ende:</t>
  </si>
  <si>
    <t>Ausrichter:</t>
  </si>
  <si>
    <t>Ort der Prüfung:</t>
  </si>
  <si>
    <t>. Dan</t>
  </si>
  <si>
    <t>Anzahl der Prüfer:</t>
  </si>
  <si>
    <t>Namen der Prüfer:</t>
  </si>
  <si>
    <t>Vermerke usw. des Landesverbandes:</t>
  </si>
  <si>
    <t>Prüfung Nr.</t>
  </si>
  <si>
    <t>Anmeldung am:</t>
  </si>
  <si>
    <t>durch:</t>
  </si>
  <si>
    <t>Mit der Zusendung der Prüfungslisten, der eingetragenen Prüfungsnummer und der Prüfungsunterlagen gilt die angemeldete Prüfung als genehmigt.</t>
  </si>
  <si>
    <t>Zugesandte Prüfungsunterlagen:</t>
  </si>
  <si>
    <t>z</t>
  </si>
  <si>
    <t>Mindestalter</t>
  </si>
  <si>
    <t>Vorbereitungszeit</t>
  </si>
  <si>
    <t>angestrebter Grad</t>
  </si>
  <si>
    <t>angestrebter Kindergrad</t>
  </si>
  <si>
    <t>Letzte Prüfung bzw. Ju-Jutsu seit Datum</t>
  </si>
  <si>
    <t>l</t>
  </si>
  <si>
    <t>2 Prüfer: Punkte 2. Liste</t>
  </si>
  <si>
    <t>3 Prüfer: Bestanden 2. Liste</t>
  </si>
  <si>
    <t>3 Prüfer: Bestanden 3.  Liste</t>
  </si>
  <si>
    <t>Punkte alle Prüfer</t>
  </si>
  <si>
    <t>Bestanden (B/NB)</t>
  </si>
  <si>
    <t>Punkte diese Liste</t>
  </si>
  <si>
    <t>Kinderprüfungmöglich</t>
  </si>
  <si>
    <t>Kinderprüfungshöchstalter</t>
  </si>
  <si>
    <t>Mindestalter erreicht</t>
  </si>
  <si>
    <t>Toleranz in Tagen</t>
  </si>
  <si>
    <t>Kinderprüfungsgrenze</t>
  </si>
  <si>
    <t>Angestr. Grad</t>
  </si>
  <si>
    <t>Mindestpunktzahl</t>
  </si>
  <si>
    <t>Alle Punkte vergeben?</t>
  </si>
  <si>
    <t>Eintragungen listenübergreifend vollständig?</t>
  </si>
  <si>
    <t>B</t>
  </si>
  <si>
    <t>NB</t>
  </si>
  <si>
    <t>Ergebnis erster Prüfer</t>
  </si>
  <si>
    <t>Ergebnis alle Prüfer</t>
  </si>
  <si>
    <t>Vorbereitungszeit erreicht</t>
  </si>
  <si>
    <t>Toleranz in Prozent</t>
  </si>
  <si>
    <t>Vorbereitungszeit - Toleranz</t>
  </si>
  <si>
    <t>Bestanden/nicht Bestanden</t>
  </si>
  <si>
    <t xml:space="preserve"> Kyu-Prüfung</t>
  </si>
  <si>
    <t xml:space="preserve"> Dan-Prüfung</t>
  </si>
  <si>
    <t xml:space="preserve">   Kyu-/Dan-Marken + Urkunden</t>
  </si>
  <si>
    <t xml:space="preserve">   Kindermarken + Urkunden</t>
  </si>
  <si>
    <t xml:space="preserve">   Prüfungsliste/n</t>
  </si>
  <si>
    <t>Anzahl bestanden laut Liste</t>
  </si>
  <si>
    <t>Anzahl Angestrebt laut Liste</t>
  </si>
  <si>
    <t>Kyuprüfung</t>
  </si>
  <si>
    <t>Danprüfung</t>
  </si>
  <si>
    <t>Für die Durchführung der Prüfung gilt die Prüfungsordnung des DJJV in der jeweils aktuellen Fassung.</t>
  </si>
  <si>
    <t>Kann nicht mehr bestehen</t>
  </si>
  <si>
    <t>Kann nicht mehr bestehen wegen 1 Punkt</t>
  </si>
  <si>
    <t>Kann nicht mehr bestehen wegen Kata</t>
  </si>
  <si>
    <t>Version</t>
  </si>
  <si>
    <t>2.3</t>
  </si>
  <si>
    <t>Änderungen</t>
  </si>
  <si>
    <t>Versionsnummerierung begonnen, Spalte "Mindestpunktzahl" auf Prüfungsliste ergänzt, Färbung schwächer gemacht zur Einsparung von Tinte beim Ausdruck</t>
  </si>
  <si>
    <t>Ausblenden von 0 auf Auswerteblatt (Rückseite)</t>
  </si>
  <si>
    <t>Messerabwehr</t>
  </si>
  <si>
    <t>Anwendungsformen</t>
  </si>
  <si>
    <t>3.0</t>
  </si>
  <si>
    <t>Anpassungen für PProg24, Bugfix bei 2 Punkte in Kata korrekte Auswertung bei trotzdem vollem Ausfüllen der Prüfungsliste</t>
  </si>
  <si>
    <t>2.4</t>
  </si>
  <si>
    <t>3.1</t>
  </si>
  <si>
    <t>Korrektur Unterschriftenleiste Prüfer</t>
  </si>
  <si>
    <t>3.2</t>
  </si>
  <si>
    <t>Einbau WF/GT bei Zwischenprüfungen in Summenbewertung; Bugfix Bepunktung 2 Prüfer</t>
  </si>
  <si>
    <t>Rückbau WF/GT bei Zwischenprüfungen.</t>
  </si>
  <si>
    <t>3.3</t>
  </si>
  <si>
    <t>Summe</t>
  </si>
  <si>
    <t>Altersklassen</t>
  </si>
  <si>
    <t>Altersstufen</t>
  </si>
  <si>
    <t>Altersstufe</t>
  </si>
  <si>
    <t>Bestanden</t>
  </si>
  <si>
    <t>Alter</t>
  </si>
  <si>
    <t>GradAStufeBestanden</t>
  </si>
  <si>
    <t>Prüfungsstatistik</t>
  </si>
  <si>
    <t>Gürtelfarbe</t>
  </si>
  <si>
    <t>Kyu-/Dangrad</t>
  </si>
  <si>
    <t>6.</t>
  </si>
  <si>
    <t>5.</t>
  </si>
  <si>
    <t>4.</t>
  </si>
  <si>
    <t>3.</t>
  </si>
  <si>
    <t>2.</t>
  </si>
  <si>
    <t>1.</t>
  </si>
  <si>
    <t>Zusatz</t>
  </si>
  <si>
    <t>gelbem Aufnäher</t>
  </si>
  <si>
    <t>gelbem Streifen</t>
  </si>
  <si>
    <t>orangem Streifen</t>
  </si>
  <si>
    <t>grünem Streifen</t>
  </si>
  <si>
    <t>blauem Streifen</t>
  </si>
  <si>
    <t>braunem Streifen</t>
  </si>
  <si>
    <t>weißen</t>
  </si>
  <si>
    <t>gelben</t>
  </si>
  <si>
    <t>orangen</t>
  </si>
  <si>
    <t>grünen</t>
  </si>
  <si>
    <t>blauen</t>
  </si>
  <si>
    <t>braunen</t>
  </si>
  <si>
    <t>schwarzen</t>
  </si>
  <si>
    <t>Urkundenart</t>
  </si>
  <si>
    <t>J</t>
  </si>
  <si>
    <t>K</t>
  </si>
  <si>
    <t>D</t>
  </si>
  <si>
    <t>Formatierter Name</t>
  </si>
  <si>
    <r>
      <rPr>
        <b/>
        <sz val="10"/>
        <rFont val="Arial"/>
        <family val="2"/>
      </rPr>
      <t>Anleitung:</t>
    </r>
    <r>
      <rPr>
        <sz val="10"/>
        <rFont val="Arial"/>
        <family val="2"/>
      </rPr>
      <t xml:space="preserve">
Gib die Nummer des Prüflings ein, dessen Urkunde gedruckt werden soll.
Verwende das Tabellenblatt "</t>
    </r>
    <r>
      <rPr>
        <b/>
        <sz val="10"/>
        <rFont val="Arial"/>
        <family val="2"/>
      </rPr>
      <t>Jugendurkunde</t>
    </r>
    <r>
      <rPr>
        <sz val="10"/>
        <rFont val="Arial"/>
        <family val="2"/>
      </rPr>
      <t xml:space="preserve">" nur für </t>
    </r>
    <r>
      <rPr>
        <b/>
        <sz val="10"/>
        <rFont val="Arial"/>
        <family val="2"/>
      </rPr>
      <t xml:space="preserve">Zwischenprüfungen.
</t>
    </r>
    <r>
      <rPr>
        <sz val="10"/>
        <rFont val="Arial"/>
        <family val="2"/>
      </rPr>
      <t xml:space="preserve">Für Kyu- und für Dan-Prüfungen verwende das jeweilige andere Tabellenblatt.
WICHTIG: Jeder Drucker druckt ein wenig anders, zudem ändert der DJJV ab und zu mal das genaue Format der Urkunden.
</t>
    </r>
    <r>
      <rPr>
        <b/>
        <sz val="10"/>
        <color indexed="10"/>
        <rFont val="Arial"/>
        <family val="2"/>
      </rPr>
      <t>Mache deshalb immer zuerst einen Probedruck auf weißem Papier, bevor Du auf eine Urkunde druckst.</t>
    </r>
    <r>
      <rPr>
        <sz val="10"/>
        <rFont val="Arial"/>
        <family val="2"/>
      </rPr>
      <t xml:space="preserve">
Wenn Du das Papier auf eine Urkunde legst und beides gegen das Licht hältst, kannst Du erkennen, ob die Positionen des Gedruckten richtig sind.
Falls nicht, verschiebe vorsichtig die Spaltenbreiten (ab Spalte B) und Zeilenhöhen (ab Zeile 6), bis es passt.</t>
    </r>
  </si>
  <si>
    <t>Lfd. Nr. in der Prüfungsliste:</t>
  </si>
  <si>
    <r>
      <rPr>
        <b/>
        <sz val="10"/>
        <rFont val="Arial"/>
        <family val="2"/>
      </rPr>
      <t>Anleitung:</t>
    </r>
    <r>
      <rPr>
        <sz val="10"/>
        <rFont val="Arial"/>
        <family val="2"/>
      </rPr>
      <t xml:space="preserve">
Gib die Nummer des Prüflings ein, dessen Urkunde gedruckt werden soll.
Verwende das Tabellenblatt </t>
    </r>
    <r>
      <rPr>
        <b/>
        <sz val="10"/>
        <rFont val="Arial"/>
        <family val="2"/>
      </rPr>
      <t>Kyuurkunde</t>
    </r>
    <r>
      <rPr>
        <sz val="10"/>
        <rFont val="Arial"/>
        <family val="2"/>
      </rPr>
      <t xml:space="preserve">" nur für </t>
    </r>
    <r>
      <rPr>
        <b/>
        <sz val="10"/>
        <rFont val="Arial"/>
        <family val="2"/>
      </rPr>
      <t xml:space="preserve">Kyuprüfungen (auch bei Kindern).
</t>
    </r>
    <r>
      <rPr>
        <sz val="10"/>
        <rFont val="Arial"/>
        <family val="2"/>
      </rPr>
      <t xml:space="preserve">Für Zwischen- und für Dan-Prüfungen verwende das jeweilige andere Tabellenblatt.
WICHTIG: Jeder Drucker druckt ein wenig anders, zudem ändert der DJJV ab und zu mal das genaue Format der Urkunden.
</t>
    </r>
    <r>
      <rPr>
        <b/>
        <sz val="10"/>
        <color indexed="10"/>
        <rFont val="Arial"/>
        <family val="2"/>
      </rPr>
      <t>Mache deshalb immer zuerst einen Probedruck auf weißem Papier, bevor Du auf eine Urkunde druckst.</t>
    </r>
    <r>
      <rPr>
        <sz val="10"/>
        <rFont val="Arial"/>
        <family val="2"/>
      </rPr>
      <t xml:space="preserve">
Wenn Du das Papier auf eine Urkunde legst und beides gegen das Licht hältst, kannst Du erkennen, ob die Positionen des Gedruckten richtig sind.
Falls nicht, verschiebe vorsichtig die Spaltenbreiten (ab Spalte B) und Zeilenhöhen (ab Zeile 6), bis es passt.</t>
    </r>
  </si>
  <si>
    <r>
      <rPr>
        <b/>
        <sz val="10"/>
        <rFont val="Arial"/>
        <family val="2"/>
      </rPr>
      <t>Anleitung:</t>
    </r>
    <r>
      <rPr>
        <sz val="10"/>
        <rFont val="Arial"/>
        <family val="2"/>
      </rPr>
      <t xml:space="preserve">
Gib die Nummer des Prüflings ein, dessen Urkunde gedruckt werden soll.
Verwende das Tabellenblatt "</t>
    </r>
    <r>
      <rPr>
        <b/>
        <sz val="10"/>
        <rFont val="Arial"/>
        <family val="2"/>
      </rPr>
      <t>Danurkunde</t>
    </r>
    <r>
      <rPr>
        <sz val="10"/>
        <rFont val="Arial"/>
        <family val="2"/>
      </rPr>
      <t xml:space="preserve">" nur für </t>
    </r>
    <r>
      <rPr>
        <b/>
        <sz val="10"/>
        <rFont val="Arial"/>
        <family val="2"/>
      </rPr>
      <t xml:space="preserve">Danprüfungen.
</t>
    </r>
    <r>
      <rPr>
        <sz val="10"/>
        <rFont val="Arial"/>
        <family val="2"/>
      </rPr>
      <t xml:space="preserve">Für Zwischen- und für Kyu-Prüfungen verwende das jeweilige andere Tabellenblatt.
WICHTIG: Jeder Drucker druckt ein wenig anders, zudem ändert der DJJV ab und zu mal das genaue Format der Urkunden.
</t>
    </r>
    <r>
      <rPr>
        <b/>
        <sz val="10"/>
        <color indexed="10"/>
        <rFont val="Arial"/>
        <family val="2"/>
      </rPr>
      <t>Mache deshalb immer zuerst einen Probedruck auf weißem Papier, bevor Du auf eine Urkunde druckst.</t>
    </r>
    <r>
      <rPr>
        <sz val="10"/>
        <rFont val="Arial"/>
        <family val="2"/>
      </rPr>
      <t xml:space="preserve">
Wenn Du das Papier auf eine Urkunde legst und beides gegen das Licht hältst, kannst Du erkennen, ob die Positionen des Gedruckten richtig sind.
Falls nicht, verschiebe vorsichtig die Spaltenbreiten (ab Spalte B) und Zeilenhöhen (ab Zeile 6), bis es passt.</t>
    </r>
  </si>
  <si>
    <t>Lfd. Nr. i. d. P'liste:</t>
  </si>
  <si>
    <t>3.4</t>
  </si>
  <si>
    <t>Einbau Tabellenblatt "Statistik", Einbau Druckvorlagen Jugend-, Kyu- und Danurkunde, Einbau Kopfzeile Listeninnenseite mit Datum und Verein</t>
  </si>
  <si>
    <t>orangem Aufnäher</t>
  </si>
  <si>
    <t>3.4.1</t>
  </si>
  <si>
    <t>Bugfixes: Summen Tabellenblatt "Statistik" erscheinen nicht mehr, wenn noch nicht bewertet wurde; Danurkunde ist zu beginn nach oben gescrollt (so dass Eingabezelle sichtbar ist)</t>
  </si>
  <si>
    <t>3.4.2</t>
  </si>
  <si>
    <t>Verbesserung beim Urkundendruck bei langen Namen oder Orten (Anpassung der Schriftgröße, bei Namen Verlängerung der Druckbreite)</t>
  </si>
  <si>
    <t>3.4.3</t>
  </si>
  <si>
    <t>Autor/Rechte: © 2016-2025 Jens Dykow</t>
  </si>
  <si>
    <t>© 2025 Jens Dykow</t>
  </si>
  <si>
    <t>Druckvorlage für neue Danurkunden ergänzt, Scans der Urkunden in Urkundendruckformulare hinzugefügt, Prüfung für Urkundendruck ergänzt, ob Ort auf Außenseite eingegeben wurde.</t>
  </si>
  <si>
    <t>3.4.4</t>
  </si>
  <si>
    <t>Feinjustierung Eindrucken Prüfernamen, Prüfungsdatum bei neuer Danurkunde; Eindrucken Prüfernamen unten auf Prüfungsliste; Fix, dass bei leerem ersten Prüfernamen auf Außenseite nicht versucht wird, den Prüfer auf die Urkunden zu drucken, Prüfungsnummer als Text formatiert, Eingabefelder auf Außenseite sowie alle Felder bei Urkundendruck formatiert auf Anpassung an Textlänge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</si>
</sst>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D_M_-;\-* #,##0.00\ _D_M_-;_-* &quot;-&quot;??\ _D_M_-;_-@_-"/>
    <numFmt numFmtId="165" formatCode="d\.m\.yy"/>
    <numFmt numFmtId="166" formatCode="#"/>
    <numFmt numFmtId="167" formatCode="h:mm"/>
    <numFmt numFmtId="168" formatCode="d/m/yy;@"/>
    <numFmt numFmtId="169" formatCode="[$-407]d/\ mmmm\ yyyy;@"/>
  </numFmts>
  <fonts count="33" x14ac:knownFonts="1">
    <font>
      <sz val="10"/>
      <name val="Arial"/>
    </font>
    <font>
      <sz val="10"/>
      <name val="Arial"/>
      <family val="2"/>
    </font>
    <font>
      <sz val="9"/>
      <name val="Arial"/>
      <family val="2"/>
    </font>
    <font>
      <sz val="8"/>
      <name val="Arial"/>
      <family val="2"/>
    </font>
    <font>
      <sz val="9"/>
      <name val="Arial"/>
      <family val="2"/>
    </font>
    <font>
      <sz val="10"/>
      <name val="Arial"/>
      <family val="2"/>
    </font>
    <font>
      <b/>
      <sz val="14"/>
      <name val="Tahoma"/>
      <family val="2"/>
    </font>
    <font>
      <sz val="10"/>
      <name val="Tahoma"/>
      <family val="2"/>
    </font>
    <font>
      <b/>
      <u/>
      <sz val="16"/>
      <name val="Tahoma"/>
      <family val="2"/>
    </font>
    <font>
      <b/>
      <sz val="16"/>
      <name val="Tahoma"/>
      <family val="2"/>
    </font>
    <font>
      <sz val="12"/>
      <name val="Tahoma"/>
      <family val="2"/>
    </font>
    <font>
      <b/>
      <sz val="10"/>
      <name val="Tahoma"/>
      <family val="2"/>
    </font>
    <font>
      <b/>
      <sz val="12"/>
      <name val="Tahoma"/>
      <family val="2"/>
    </font>
    <font>
      <sz val="9"/>
      <name val="Tahoma"/>
      <family val="2"/>
    </font>
    <font>
      <sz val="8"/>
      <name val="Tahoma"/>
      <family val="2"/>
    </font>
    <font>
      <b/>
      <sz val="9"/>
      <name val="Tahoma"/>
      <family val="2"/>
    </font>
    <font>
      <sz val="16"/>
      <name val="Tahoma"/>
      <family val="2"/>
    </font>
    <font>
      <b/>
      <u/>
      <sz val="9"/>
      <name val="Tahoma"/>
      <family val="2"/>
    </font>
    <font>
      <i/>
      <sz val="8"/>
      <name val="Tahoma"/>
      <family val="2"/>
    </font>
    <font>
      <sz val="7"/>
      <name val="Tahoma"/>
      <family val="2"/>
    </font>
    <font>
      <sz val="3"/>
      <name val="Tahoma"/>
      <family val="2"/>
    </font>
    <font>
      <b/>
      <sz val="28"/>
      <name val="Tahoma"/>
      <family val="2"/>
    </font>
    <font>
      <sz val="20"/>
      <name val="Tahoma"/>
      <family val="2"/>
    </font>
    <font>
      <b/>
      <sz val="10"/>
      <color indexed="10"/>
      <name val="Arial"/>
      <family val="2"/>
    </font>
    <font>
      <b/>
      <sz val="10"/>
      <name val="Arial"/>
      <family val="2"/>
    </font>
    <font>
      <sz val="20"/>
      <name val="Times New Roman"/>
      <family val="1"/>
    </font>
    <font>
      <b/>
      <sz val="28"/>
      <name val="Times New Roman"/>
      <family val="1"/>
    </font>
    <font>
      <sz val="26"/>
      <name val="Times New Roman"/>
      <family val="1"/>
    </font>
    <font>
      <sz val="10"/>
      <name val="Times New Roman"/>
      <family val="1"/>
    </font>
    <font>
      <sz val="9"/>
      <name val="Times New Roman"/>
      <family val="1"/>
    </font>
    <font>
      <sz val="10"/>
      <color rgb="FFFF0000"/>
      <name val="Arial"/>
      <family val="2"/>
    </font>
    <font>
      <b/>
      <sz val="30"/>
      <name val="Tahoma"/>
      <family val="2"/>
    </font>
    <font>
      <sz val="9.5"/>
      <name val="Tahoma"/>
      <family val="2"/>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rgb="FFFFFFCC"/>
        <bgColor indexed="64"/>
      </patternFill>
    </fill>
  </fills>
  <borders count="5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220">
    <xf numFmtId="0" fontId="0" fillId="0" borderId="0" xfId="0"/>
    <xf numFmtId="0" fontId="4" fillId="0" borderId="0" xfId="0" applyFont="1"/>
    <xf numFmtId="0" fontId="2" fillId="0" borderId="0" xfId="0" applyFont="1" applyFill="1" applyBorder="1" applyAlignment="1">
      <alignment horizontal="center" textRotation="90"/>
    </xf>
    <xf numFmtId="0" fontId="2" fillId="0" borderId="0" xfId="0" applyFont="1" applyFill="1" applyBorder="1" applyAlignment="1">
      <alignment textRotation="90"/>
    </xf>
    <xf numFmtId="1" fontId="2" fillId="0" borderId="0" xfId="0" applyNumberFormat="1" applyFont="1" applyFill="1" applyBorder="1" applyAlignment="1">
      <alignment textRotation="90"/>
    </xf>
    <xf numFmtId="0" fontId="2" fillId="0" borderId="0" xfId="0" applyNumberFormat="1" applyFont="1" applyFill="1" applyBorder="1" applyAlignment="1">
      <alignment shrinkToFit="1"/>
    </xf>
    <xf numFmtId="165" fontId="2" fillId="0" borderId="0" xfId="0" applyNumberFormat="1" applyFont="1" applyFill="1" applyBorder="1" applyAlignment="1">
      <alignment shrinkToFit="1"/>
    </xf>
    <xf numFmtId="1" fontId="2" fillId="0" borderId="0" xfId="0" applyNumberFormat="1" applyFont="1" applyFill="1" applyBorder="1" applyAlignment="1">
      <alignment shrinkToFit="1"/>
    </xf>
    <xf numFmtId="49" fontId="2" fillId="0" borderId="0" xfId="0" applyNumberFormat="1" applyFont="1" applyFill="1" applyBorder="1" applyAlignment="1">
      <alignment shrinkToFit="1"/>
    </xf>
    <xf numFmtId="0" fontId="2" fillId="0" borderId="0" xfId="0" applyFont="1" applyFill="1" applyBorder="1" applyAlignment="1"/>
    <xf numFmtId="166" fontId="2" fillId="0" borderId="0" xfId="0" applyNumberFormat="1" applyFont="1" applyFill="1" applyBorder="1" applyAlignment="1">
      <alignment shrinkToFit="1"/>
    </xf>
    <xf numFmtId="14" fontId="0" fillId="0" borderId="0" xfId="1" applyNumberFormat="1" applyFont="1"/>
    <xf numFmtId="0" fontId="0" fillId="0" borderId="0" xfId="1" applyNumberFormat="1" applyFont="1"/>
    <xf numFmtId="0" fontId="0" fillId="0" borderId="0" xfId="0" applyAlignment="1">
      <alignment wrapText="1"/>
    </xf>
    <xf numFmtId="0" fontId="6" fillId="0" borderId="0" xfId="0" applyFont="1"/>
    <xf numFmtId="0" fontId="7" fillId="0" borderId="0" xfId="0" applyFont="1"/>
    <xf numFmtId="0" fontId="8" fillId="0" borderId="0" xfId="0" applyFont="1" applyAlignment="1">
      <alignment horizontal="center"/>
    </xf>
    <xf numFmtId="0" fontId="7" fillId="0" borderId="1" xfId="0" applyFont="1" applyBorder="1" applyAlignment="1">
      <alignment horizontal="center"/>
    </xf>
    <xf numFmtId="0" fontId="7" fillId="0" borderId="0" xfId="0" applyFont="1" applyAlignment="1">
      <alignment horizontal="center"/>
    </xf>
    <xf numFmtId="0" fontId="7" fillId="0" borderId="2" xfId="0" applyFont="1" applyFill="1" applyBorder="1" applyAlignment="1">
      <alignment horizontal="center" vertical="center"/>
    </xf>
    <xf numFmtId="0" fontId="10" fillId="0" borderId="0" xfId="0" applyFont="1"/>
    <xf numFmtId="0" fontId="11" fillId="0" borderId="0" xfId="0" applyFont="1"/>
    <xf numFmtId="0" fontId="11" fillId="0" borderId="0" xfId="0" applyFont="1" applyAlignment="1">
      <alignment horizontal="right"/>
    </xf>
    <xf numFmtId="0" fontId="7" fillId="0" borderId="0" xfId="0" applyFont="1" applyAlignment="1">
      <alignment horizontal="left"/>
    </xf>
    <xf numFmtId="0" fontId="7" fillId="0" borderId="3" xfId="0" applyFont="1" applyBorder="1"/>
    <xf numFmtId="0" fontId="7" fillId="0" borderId="0" xfId="0" applyFont="1" applyAlignment="1">
      <alignment horizontal="right"/>
    </xf>
    <xf numFmtId="0" fontId="7" fillId="0" borderId="0" xfId="0" applyFont="1" applyAlignment="1">
      <alignment wrapText="1"/>
    </xf>
    <xf numFmtId="0" fontId="11" fillId="0" borderId="4" xfId="0" applyFont="1" applyBorder="1" applyAlignment="1">
      <alignment horizontal="centerContinuous"/>
    </xf>
    <xf numFmtId="0" fontId="11" fillId="0" borderId="5" xfId="0" applyFont="1" applyBorder="1" applyAlignment="1">
      <alignment horizontal="centerContinuous"/>
    </xf>
    <xf numFmtId="0" fontId="7" fillId="0" borderId="6" xfId="0" applyFont="1" applyBorder="1" applyAlignment="1">
      <alignment horizontal="center"/>
    </xf>
    <xf numFmtId="0" fontId="7" fillId="0" borderId="7" xfId="0" applyFont="1" applyBorder="1" applyAlignment="1">
      <alignment horizontal="center"/>
    </xf>
    <xf numFmtId="0" fontId="13" fillId="0" borderId="8" xfId="0" applyFont="1" applyBorder="1"/>
    <xf numFmtId="0" fontId="13" fillId="0" borderId="9" xfId="0" applyNumberFormat="1" applyFont="1" applyBorder="1" applyAlignment="1">
      <alignment horizontal="center" vertical="center" shrinkToFit="1"/>
    </xf>
    <xf numFmtId="0" fontId="15" fillId="0" borderId="10" xfId="0" applyFont="1" applyBorder="1" applyAlignment="1">
      <alignment horizontal="center" vertical="center" shrinkToFit="1"/>
    </xf>
    <xf numFmtId="0" fontId="16" fillId="0" borderId="0" xfId="0" applyFont="1"/>
    <xf numFmtId="0" fontId="13" fillId="0" borderId="11" xfId="0" applyFont="1" applyBorder="1"/>
    <xf numFmtId="0" fontId="13" fillId="0" borderId="11" xfId="0" applyNumberFormat="1" applyFont="1" applyBorder="1" applyAlignment="1">
      <alignment horizontal="center" vertical="center" shrinkToFit="1"/>
    </xf>
    <xf numFmtId="0" fontId="15" fillId="0" borderId="12" xfId="0" applyFont="1" applyBorder="1" applyAlignment="1">
      <alignment horizontal="center" vertical="center" shrinkToFit="1"/>
    </xf>
    <xf numFmtId="0" fontId="7" fillId="0" borderId="11" xfId="0" applyNumberFormat="1" applyFont="1" applyBorder="1" applyAlignment="1">
      <alignment horizontal="center" vertical="center" shrinkToFit="1"/>
    </xf>
    <xf numFmtId="0" fontId="7" fillId="0" borderId="0" xfId="0" applyFont="1" applyBorder="1"/>
    <xf numFmtId="0" fontId="16" fillId="0" borderId="0" xfId="0" applyFont="1" applyBorder="1"/>
    <xf numFmtId="0" fontId="17" fillId="0" borderId="13" xfId="0" applyFont="1" applyBorder="1"/>
    <xf numFmtId="0" fontId="7" fillId="0" borderId="5" xfId="0" applyFont="1" applyBorder="1"/>
    <xf numFmtId="0" fontId="18" fillId="0" borderId="5" xfId="0" applyFont="1" applyBorder="1"/>
    <xf numFmtId="0" fontId="14" fillId="0" borderId="5" xfId="0" applyFont="1" applyBorder="1"/>
    <xf numFmtId="0" fontId="7" fillId="0" borderId="14" xfId="0" applyFont="1" applyBorder="1"/>
    <xf numFmtId="0" fontId="19" fillId="3" borderId="15" xfId="0" applyFont="1" applyFill="1" applyBorder="1" applyAlignment="1" applyProtection="1">
      <alignment horizontal="left"/>
      <protection locked="0"/>
    </xf>
    <xf numFmtId="0" fontId="13" fillId="0" borderId="0" xfId="0" applyFont="1" applyBorder="1"/>
    <xf numFmtId="0" fontId="18" fillId="0" borderId="0" xfId="0" applyFont="1" applyBorder="1"/>
    <xf numFmtId="0" fontId="14" fillId="0" borderId="0" xfId="0" applyFont="1" applyBorder="1"/>
    <xf numFmtId="0" fontId="7" fillId="0" borderId="16" xfId="0" applyFont="1" applyBorder="1"/>
    <xf numFmtId="0" fontId="19" fillId="3" borderId="15" xfId="0" applyNumberFormat="1" applyFont="1" applyFill="1" applyBorder="1" applyAlignment="1" applyProtection="1">
      <alignment horizontal="left"/>
      <protection locked="0"/>
    </xf>
    <xf numFmtId="0" fontId="18" fillId="0" borderId="0" xfId="0" applyFont="1" applyFill="1" applyBorder="1"/>
    <xf numFmtId="0" fontId="14" fillId="0" borderId="0" xfId="0" applyFont="1" applyFill="1" applyBorder="1"/>
    <xf numFmtId="0" fontId="7" fillId="0" borderId="1" xfId="0" applyFont="1" applyBorder="1"/>
    <xf numFmtId="0" fontId="19" fillId="3" borderId="17" xfId="0" applyFont="1" applyFill="1" applyBorder="1" applyAlignment="1" applyProtection="1">
      <alignment horizontal="left"/>
      <protection locked="0"/>
    </xf>
    <xf numFmtId="0" fontId="13" fillId="0" borderId="3" xfId="0" applyFont="1" applyBorder="1"/>
    <xf numFmtId="0" fontId="14" fillId="0" borderId="3" xfId="0" applyFont="1" applyBorder="1"/>
    <xf numFmtId="16" fontId="0" fillId="0" borderId="0" xfId="0" quotePrefix="1" applyNumberFormat="1"/>
    <xf numFmtId="49" fontId="15" fillId="4" borderId="2" xfId="0" applyNumberFormat="1" applyFont="1" applyFill="1" applyBorder="1" applyAlignment="1" applyProtection="1">
      <alignment horizontal="center" vertical="center" shrinkToFit="1"/>
      <protection locked="0"/>
    </xf>
    <xf numFmtId="0" fontId="13" fillId="4" borderId="2" xfId="0" applyNumberFormat="1" applyFont="1" applyFill="1" applyBorder="1" applyAlignment="1" applyProtection="1">
      <alignment horizontal="center" vertical="center" shrinkToFit="1"/>
      <protection locked="0"/>
    </xf>
    <xf numFmtId="165" fontId="13" fillId="4" borderId="18" xfId="0" applyNumberFormat="1" applyFont="1" applyFill="1" applyBorder="1" applyAlignment="1" applyProtection="1">
      <alignment horizontal="center" vertical="center" shrinkToFit="1"/>
      <protection locked="0"/>
    </xf>
    <xf numFmtId="165" fontId="13" fillId="4" borderId="9" xfId="0" applyNumberFormat="1" applyFont="1" applyFill="1" applyBorder="1" applyAlignment="1" applyProtection="1">
      <alignment horizontal="center" vertical="center" shrinkToFit="1"/>
      <protection locked="0"/>
    </xf>
    <xf numFmtId="49" fontId="13" fillId="4" borderId="2" xfId="0" applyNumberFormat="1" applyFont="1" applyFill="1" applyBorder="1" applyAlignment="1" applyProtection="1">
      <alignment horizontal="center" vertical="center" shrinkToFit="1"/>
      <protection locked="0"/>
    </xf>
    <xf numFmtId="49" fontId="13" fillId="4" borderId="18" xfId="0" applyNumberFormat="1" applyFont="1" applyFill="1" applyBorder="1" applyAlignment="1" applyProtection="1">
      <alignment horizontal="center" vertical="center" shrinkToFit="1"/>
      <protection locked="0"/>
    </xf>
    <xf numFmtId="0" fontId="7" fillId="4" borderId="19" xfId="0" applyNumberFormat="1" applyFont="1" applyFill="1" applyBorder="1" applyAlignment="1" applyProtection="1">
      <alignment horizontal="center" vertical="center" shrinkToFit="1"/>
      <protection locked="0"/>
    </xf>
    <xf numFmtId="0" fontId="7" fillId="4" borderId="20" xfId="0" applyNumberFormat="1" applyFont="1" applyFill="1" applyBorder="1" applyAlignment="1" applyProtection="1">
      <alignment horizontal="center" vertical="center" shrinkToFit="1"/>
      <protection locked="0"/>
    </xf>
    <xf numFmtId="0" fontId="7" fillId="4" borderId="20" xfId="0" applyNumberFormat="1" applyFont="1" applyFill="1" applyBorder="1" applyAlignment="1" applyProtection="1">
      <alignment horizontal="center" vertical="center" wrapText="1" shrinkToFit="1"/>
      <protection locked="0"/>
    </xf>
    <xf numFmtId="0" fontId="7" fillId="4" borderId="20" xfId="0" quotePrefix="1" applyNumberFormat="1" applyFont="1" applyFill="1" applyBorder="1" applyAlignment="1" applyProtection="1">
      <alignment horizontal="center" vertical="center" shrinkToFit="1"/>
      <protection locked="0"/>
    </xf>
    <xf numFmtId="0" fontId="7" fillId="4" borderId="21" xfId="0" applyNumberFormat="1" applyFont="1" applyFill="1" applyBorder="1" applyAlignment="1" applyProtection="1">
      <alignment horizontal="center" vertical="center" shrinkToFit="1"/>
      <protection locked="0"/>
    </xf>
    <xf numFmtId="49" fontId="7" fillId="4" borderId="9" xfId="0" applyNumberFormat="1" applyFont="1" applyFill="1" applyBorder="1" applyAlignment="1" applyProtection="1">
      <alignment horizontal="center" vertical="center" shrinkToFit="1"/>
      <protection locked="0"/>
    </xf>
    <xf numFmtId="49" fontId="7" fillId="4" borderId="20" xfId="0" applyNumberFormat="1" applyFont="1" applyFill="1" applyBorder="1" applyAlignment="1" applyProtection="1">
      <alignment horizontal="center" vertical="center" shrinkToFit="1"/>
      <protection locked="0"/>
    </xf>
    <xf numFmtId="49" fontId="7" fillId="4" borderId="21" xfId="0" applyNumberFormat="1" applyFont="1" applyFill="1" applyBorder="1" applyAlignment="1" applyProtection="1">
      <alignment horizontal="center" vertical="center" shrinkToFit="1"/>
      <protection locked="0"/>
    </xf>
    <xf numFmtId="166" fontId="7" fillId="4" borderId="9" xfId="0" applyNumberFormat="1" applyFont="1" applyFill="1" applyBorder="1" applyAlignment="1" applyProtection="1">
      <alignment horizontal="center" vertical="center" shrinkToFit="1"/>
      <protection locked="0"/>
    </xf>
    <xf numFmtId="0" fontId="7" fillId="4" borderId="22" xfId="0" applyNumberFormat="1" applyFont="1" applyFill="1" applyBorder="1" applyAlignment="1" applyProtection="1">
      <alignment horizontal="center" vertical="center" shrinkToFit="1"/>
      <protection locked="0"/>
    </xf>
    <xf numFmtId="0" fontId="7" fillId="4" borderId="2" xfId="0" applyNumberFormat="1" applyFont="1" applyFill="1" applyBorder="1" applyAlignment="1" applyProtection="1">
      <alignment horizontal="center" vertical="center" shrinkToFit="1"/>
      <protection locked="0"/>
    </xf>
    <xf numFmtId="0" fontId="7" fillId="4" borderId="2" xfId="0" applyNumberFormat="1" applyFont="1" applyFill="1" applyBorder="1" applyAlignment="1" applyProtection="1">
      <alignment horizontal="center" vertical="center" wrapText="1" shrinkToFit="1"/>
      <protection locked="0"/>
    </xf>
    <xf numFmtId="0" fontId="7" fillId="4" borderId="2" xfId="0" quotePrefix="1" applyNumberFormat="1" applyFont="1" applyFill="1" applyBorder="1" applyAlignment="1" applyProtection="1">
      <alignment horizontal="center" vertical="center" shrinkToFit="1"/>
      <protection locked="0"/>
    </xf>
    <xf numFmtId="0" fontId="7" fillId="4" borderId="18" xfId="0" applyNumberFormat="1" applyFont="1" applyFill="1" applyBorder="1" applyAlignment="1" applyProtection="1">
      <alignment horizontal="center" vertical="center" shrinkToFit="1"/>
      <protection locked="0"/>
    </xf>
    <xf numFmtId="49" fontId="7" fillId="4" borderId="11" xfId="0" applyNumberFormat="1" applyFont="1" applyFill="1" applyBorder="1" applyAlignment="1" applyProtection="1">
      <alignment horizontal="center" vertical="center" shrinkToFit="1"/>
      <protection locked="0"/>
    </xf>
    <xf numFmtId="49" fontId="7" fillId="4" borderId="2" xfId="0" applyNumberFormat="1" applyFont="1" applyFill="1" applyBorder="1" applyAlignment="1" applyProtection="1">
      <alignment horizontal="center" vertical="center" shrinkToFit="1"/>
      <protection locked="0"/>
    </xf>
    <xf numFmtId="49" fontId="7" fillId="4" borderId="18" xfId="0" applyNumberFormat="1" applyFont="1" applyFill="1" applyBorder="1" applyAlignment="1" applyProtection="1">
      <alignment horizontal="center" vertical="center" shrinkToFit="1"/>
      <protection locked="0"/>
    </xf>
    <xf numFmtId="0" fontId="7" fillId="4" borderId="2" xfId="0" quotePrefix="1" applyNumberFormat="1" applyFont="1" applyFill="1" applyBorder="1" applyAlignment="1" applyProtection="1">
      <alignment horizontal="center" vertical="center" wrapText="1" shrinkToFit="1"/>
      <protection locked="0"/>
    </xf>
    <xf numFmtId="166" fontId="13" fillId="4" borderId="20" xfId="0" applyNumberFormat="1" applyFont="1" applyFill="1" applyBorder="1" applyAlignment="1" applyProtection="1">
      <alignment horizontal="center" vertical="center" shrinkToFit="1"/>
      <protection locked="0"/>
    </xf>
    <xf numFmtId="166" fontId="13" fillId="4" borderId="2" xfId="0" applyNumberFormat="1" applyFont="1" applyFill="1" applyBorder="1" applyAlignment="1" applyProtection="1">
      <alignment horizontal="center" vertical="center" shrinkToFit="1"/>
      <protection locked="0"/>
    </xf>
    <xf numFmtId="166" fontId="7" fillId="4" borderId="2" xfId="0" applyNumberFormat="1" applyFont="1" applyFill="1" applyBorder="1" applyAlignment="1" applyProtection="1">
      <alignment horizontal="center" vertical="center" shrinkToFit="1"/>
      <protection locked="0"/>
    </xf>
    <xf numFmtId="0" fontId="13" fillId="4" borderId="21" xfId="0" applyFont="1" applyFill="1" applyBorder="1" applyAlignment="1" applyProtection="1">
      <alignment horizontal="center" vertical="center"/>
      <protection locked="0"/>
    </xf>
    <xf numFmtId="0" fontId="13" fillId="4" borderId="18" xfId="0" applyFont="1" applyFill="1" applyBorder="1" applyAlignment="1" applyProtection="1">
      <alignment horizontal="center" vertical="center"/>
      <protection locked="0"/>
    </xf>
    <xf numFmtId="0" fontId="7" fillId="4" borderId="18" xfId="0" applyFont="1" applyFill="1" applyBorder="1" applyAlignment="1" applyProtection="1">
      <alignment horizontal="center" vertical="center"/>
      <protection locked="0"/>
    </xf>
    <xf numFmtId="167" fontId="11" fillId="4" borderId="1" xfId="0" applyNumberFormat="1" applyFont="1" applyFill="1" applyBorder="1" applyAlignment="1" applyProtection="1">
      <alignment horizontal="center" shrinkToFit="1"/>
      <protection locked="0"/>
    </xf>
    <xf numFmtId="16" fontId="5" fillId="0" borderId="0" xfId="0" quotePrefix="1" applyNumberFormat="1" applyFont="1"/>
    <xf numFmtId="0" fontId="5" fillId="0" borderId="0" xfId="0" applyFont="1"/>
    <xf numFmtId="0" fontId="5" fillId="0" borderId="0" xfId="0" quotePrefix="1" applyFont="1"/>
    <xf numFmtId="0" fontId="5" fillId="0" borderId="0" xfId="0" quotePrefix="1" applyFont="1" applyAlignment="1"/>
    <xf numFmtId="14" fontId="0" fillId="0" borderId="0" xfId="0" applyNumberFormat="1"/>
    <xf numFmtId="0" fontId="13" fillId="0" borderId="21" xfId="0" applyNumberFormat="1" applyFont="1" applyBorder="1" applyAlignment="1">
      <alignment horizontal="center" vertical="center" shrinkToFit="1"/>
    </xf>
    <xf numFmtId="0" fontId="13" fillId="0" borderId="18" xfId="0" applyNumberFormat="1" applyFont="1" applyBorder="1" applyAlignment="1">
      <alignment horizontal="center" vertical="center" shrinkToFit="1"/>
    </xf>
    <xf numFmtId="0" fontId="7" fillId="0" borderId="18" xfId="0" applyNumberFormat="1" applyFont="1" applyBorder="1" applyAlignment="1">
      <alignment horizontal="center" vertical="center" shrinkToFit="1"/>
    </xf>
    <xf numFmtId="0" fontId="7" fillId="0" borderId="23" xfId="0" applyNumberFormat="1" applyFont="1" applyBorder="1" applyAlignment="1">
      <alignment horizontal="center" vertical="center" shrinkToFit="1"/>
    </xf>
    <xf numFmtId="0" fontId="7" fillId="0" borderId="6" xfId="0" applyNumberFormat="1" applyFont="1" applyBorder="1" applyAlignment="1">
      <alignment horizontal="center" vertical="center" shrinkToFit="1"/>
    </xf>
    <xf numFmtId="166" fontId="7" fillId="4" borderId="7" xfId="0" applyNumberFormat="1" applyFont="1" applyFill="1" applyBorder="1" applyAlignment="1" applyProtection="1">
      <alignment horizontal="center" vertical="center" shrinkToFit="1"/>
      <protection locked="0"/>
    </xf>
    <xf numFmtId="0" fontId="13" fillId="0" borderId="20" xfId="0" applyFont="1" applyBorder="1" applyAlignment="1">
      <alignment horizontal="center" vertical="center" shrinkToFit="1"/>
    </xf>
    <xf numFmtId="0" fontId="7" fillId="4" borderId="23" xfId="0" applyFont="1" applyFill="1" applyBorder="1" applyAlignment="1" applyProtection="1">
      <alignment horizontal="center" vertical="center"/>
      <protection locked="0"/>
    </xf>
    <xf numFmtId="0" fontId="19" fillId="0" borderId="3" xfId="0" applyFont="1" applyBorder="1"/>
    <xf numFmtId="0" fontId="20" fillId="0" borderId="24" xfId="0" applyFont="1" applyBorder="1" applyAlignment="1">
      <alignment horizontal="right"/>
    </xf>
    <xf numFmtId="0" fontId="0" fillId="0" borderId="0" xfId="0" quotePrefix="1"/>
    <xf numFmtId="0" fontId="0" fillId="0" borderId="0" xfId="0" applyAlignment="1">
      <alignment shrinkToFit="1"/>
    </xf>
    <xf numFmtId="0" fontId="0" fillId="0" borderId="0" xfId="0" applyFont="1" applyAlignment="1">
      <alignment wrapText="1"/>
    </xf>
    <xf numFmtId="0" fontId="7" fillId="0" borderId="25" xfId="0" applyFont="1" applyBorder="1"/>
    <xf numFmtId="0" fontId="7" fillId="0" borderId="26" xfId="0" applyFont="1" applyBorder="1"/>
    <xf numFmtId="0" fontId="7" fillId="0" borderId="11" xfId="0" applyFont="1" applyBorder="1"/>
    <xf numFmtId="0" fontId="7" fillId="0" borderId="18" xfId="0" applyFont="1" applyBorder="1"/>
    <xf numFmtId="0" fontId="7" fillId="0" borderId="27" xfId="0" applyFont="1" applyBorder="1"/>
    <xf numFmtId="0" fontId="7" fillId="0" borderId="28" xfId="0" applyFont="1" applyBorder="1"/>
    <xf numFmtId="0" fontId="2" fillId="0" borderId="29" xfId="0" applyFont="1" applyFill="1" applyBorder="1" applyAlignment="1"/>
    <xf numFmtId="0" fontId="2" fillId="0" borderId="12" xfId="0" applyFont="1" applyFill="1" applyBorder="1" applyAlignment="1"/>
    <xf numFmtId="0" fontId="2" fillId="0" borderId="30" xfId="0" applyFont="1" applyFill="1" applyBorder="1" applyAlignment="1"/>
    <xf numFmtId="0" fontId="7" fillId="0" borderId="9" xfId="0" applyFont="1" applyBorder="1"/>
    <xf numFmtId="0" fontId="7" fillId="0" borderId="21" xfId="0" applyFont="1" applyBorder="1"/>
    <xf numFmtId="0" fontId="7" fillId="0" borderId="23" xfId="0" applyFont="1" applyBorder="1" applyAlignment="1">
      <alignment horizontal="center"/>
    </xf>
    <xf numFmtId="0" fontId="2" fillId="0" borderId="31" xfId="0" applyFont="1" applyFill="1" applyBorder="1" applyAlignment="1"/>
    <xf numFmtId="0" fontId="7" fillId="0" borderId="32" xfId="0" applyFont="1" applyBorder="1"/>
    <xf numFmtId="0" fontId="7" fillId="0" borderId="23" xfId="0" applyFont="1" applyBorder="1"/>
    <xf numFmtId="0" fontId="7" fillId="0" borderId="8" xfId="0" applyFont="1" applyBorder="1"/>
    <xf numFmtId="0" fontId="7" fillId="0" borderId="6" xfId="0" applyFont="1" applyBorder="1"/>
    <xf numFmtId="0" fontId="7" fillId="0" borderId="33" xfId="0" applyFont="1" applyBorder="1"/>
    <xf numFmtId="0" fontId="7" fillId="0" borderId="34" xfId="0" applyFont="1" applyBorder="1"/>
    <xf numFmtId="0" fontId="7" fillId="0" borderId="35" xfId="0" applyFont="1" applyBorder="1"/>
    <xf numFmtId="0" fontId="7" fillId="0" borderId="36" xfId="0" applyFont="1" applyBorder="1"/>
    <xf numFmtId="0" fontId="7" fillId="0" borderId="37" xfId="0" applyFont="1" applyBorder="1"/>
    <xf numFmtId="0" fontId="7" fillId="0" borderId="38" xfId="0" applyFont="1" applyBorder="1"/>
    <xf numFmtId="0" fontId="7" fillId="0" borderId="29" xfId="0" applyFont="1" applyBorder="1"/>
    <xf numFmtId="0" fontId="7" fillId="0" borderId="12" xfId="0" applyFont="1" applyBorder="1"/>
    <xf numFmtId="0" fontId="7" fillId="0" borderId="31" xfId="0" applyFont="1" applyBorder="1"/>
    <xf numFmtId="0" fontId="7" fillId="0" borderId="30" xfId="0" applyFont="1" applyBorder="1"/>
    <xf numFmtId="0" fontId="7" fillId="0" borderId="39" xfId="0" applyFont="1" applyBorder="1"/>
    <xf numFmtId="0" fontId="12" fillId="0" borderId="38" xfId="0" applyFont="1" applyBorder="1" applyAlignment="1">
      <alignment horizontal="center"/>
    </xf>
    <xf numFmtId="168" fontId="13" fillId="0" borderId="4" xfId="0" applyNumberFormat="1" applyFont="1" applyBorder="1" applyAlignment="1">
      <alignment horizontal="left"/>
    </xf>
    <xf numFmtId="0" fontId="12" fillId="0" borderId="38" xfId="0" applyFont="1" applyBorder="1" applyAlignment="1">
      <alignment horizontal="center" vertical="center"/>
    </xf>
    <xf numFmtId="0" fontId="13" fillId="0" borderId="4" xfId="0" applyFont="1" applyBorder="1" applyAlignment="1">
      <alignment horizontal="left" vertical="center"/>
    </xf>
    <xf numFmtId="0" fontId="30" fillId="0" borderId="0" xfId="0" applyFont="1"/>
    <xf numFmtId="0" fontId="22" fillId="0" borderId="0" xfId="0" applyFont="1" applyAlignment="1"/>
    <xf numFmtId="14" fontId="22" fillId="0" borderId="0" xfId="0" applyNumberFormat="1" applyFont="1" applyAlignment="1"/>
    <xf numFmtId="169" fontId="22" fillId="0" borderId="0" xfId="0" applyNumberFormat="1" applyFont="1" applyAlignment="1"/>
    <xf numFmtId="0" fontId="30" fillId="0" borderId="0" xfId="0" applyFont="1" applyAlignment="1"/>
    <xf numFmtId="0" fontId="0" fillId="4" borderId="2" xfId="0" applyFill="1" applyBorder="1" applyProtection="1">
      <protection locked="0"/>
    </xf>
    <xf numFmtId="0" fontId="26" fillId="0" borderId="0" xfId="0" applyFont="1" applyAlignment="1"/>
    <xf numFmtId="0" fontId="25" fillId="0" borderId="0" xfId="0" applyFont="1" applyAlignment="1"/>
    <xf numFmtId="0" fontId="28" fillId="0" borderId="0" xfId="0" applyFont="1" applyAlignment="1">
      <alignment wrapText="1"/>
    </xf>
    <xf numFmtId="14" fontId="0" fillId="0" borderId="0" xfId="0" quotePrefix="1" applyNumberFormat="1"/>
    <xf numFmtId="0" fontId="25" fillId="0" borderId="0" xfId="0" applyFont="1" applyAlignment="1">
      <alignment shrinkToFit="1"/>
    </xf>
    <xf numFmtId="14" fontId="1" fillId="0" borderId="0" xfId="0" quotePrefix="1" applyNumberFormat="1" applyFont="1"/>
    <xf numFmtId="0" fontId="1" fillId="0" borderId="0" xfId="0" applyFont="1" applyAlignment="1"/>
    <xf numFmtId="0" fontId="6" fillId="0" borderId="0" xfId="0" applyFont="1" applyAlignment="1">
      <alignment horizontal="center"/>
    </xf>
    <xf numFmtId="0" fontId="8" fillId="0" borderId="0" xfId="0" applyFont="1" applyAlignment="1">
      <alignment horizontal="center"/>
    </xf>
    <xf numFmtId="0" fontId="7" fillId="0" borderId="0" xfId="0" applyFont="1" applyAlignment="1">
      <alignment horizontal="left" wrapText="1"/>
    </xf>
    <xf numFmtId="0" fontId="9" fillId="0" borderId="0" xfId="0" applyFont="1" applyAlignment="1">
      <alignment horizontal="center"/>
    </xf>
    <xf numFmtId="0" fontId="7" fillId="0" borderId="40" xfId="0" applyFont="1" applyBorder="1" applyAlignment="1">
      <alignment horizontal="center" vertical="top"/>
    </xf>
    <xf numFmtId="0" fontId="7" fillId="4" borderId="0" xfId="0" applyFont="1" applyFill="1" applyAlignment="1" applyProtection="1">
      <alignment horizontal="left" vertical="top" wrapText="1"/>
      <protection locked="0"/>
    </xf>
    <xf numFmtId="14" fontId="11" fillId="4" borderId="1" xfId="0" applyNumberFormat="1" applyFont="1" applyFill="1" applyBorder="1" applyAlignment="1" applyProtection="1">
      <alignment horizontal="center"/>
      <protection locked="0"/>
    </xf>
    <xf numFmtId="0" fontId="11" fillId="0" borderId="0" xfId="0" applyFont="1" applyAlignment="1">
      <alignment horizontal="left" wrapText="1"/>
    </xf>
    <xf numFmtId="0" fontId="14" fillId="0" borderId="3" xfId="0" applyFont="1" applyBorder="1" applyAlignment="1"/>
    <xf numFmtId="0" fontId="7" fillId="0" borderId="3" xfId="0" applyFont="1" applyBorder="1" applyAlignment="1"/>
    <xf numFmtId="0" fontId="14" fillId="0" borderId="42" xfId="0" applyFont="1" applyBorder="1" applyAlignment="1">
      <alignment horizontal="center" textRotation="90"/>
    </xf>
    <xf numFmtId="0" fontId="14" fillId="0" borderId="43" xfId="0" applyFont="1" applyBorder="1" applyAlignment="1">
      <alignment horizontal="center" textRotation="90"/>
    </xf>
    <xf numFmtId="0" fontId="14" fillId="0" borderId="8" xfId="0" applyFont="1" applyBorder="1" applyAlignment="1">
      <alignment horizontal="center" wrapText="1"/>
    </xf>
    <xf numFmtId="0" fontId="14" fillId="0" borderId="44" xfId="0" applyFont="1" applyBorder="1" applyAlignment="1">
      <alignment horizontal="center" wrapText="1"/>
    </xf>
    <xf numFmtId="0" fontId="19" fillId="0" borderId="45" xfId="0" applyFont="1" applyBorder="1" applyAlignment="1">
      <alignment horizontal="center"/>
    </xf>
    <xf numFmtId="0" fontId="14" fillId="0" borderId="52" xfId="0" applyFont="1" applyBorder="1" applyAlignment="1">
      <alignment horizontal="center" textRotation="90"/>
    </xf>
    <xf numFmtId="0" fontId="14" fillId="0" borderId="53" xfId="0" applyFont="1" applyBorder="1" applyAlignment="1">
      <alignment horizontal="center" textRotation="90"/>
    </xf>
    <xf numFmtId="0" fontId="13" fillId="0" borderId="4" xfId="0" applyFont="1" applyBorder="1" applyAlignment="1">
      <alignment horizontal="left"/>
    </xf>
    <xf numFmtId="0" fontId="7" fillId="0" borderId="48" xfId="0" applyFont="1" applyBorder="1" applyAlignment="1">
      <alignment horizontal="center" textRotation="90"/>
    </xf>
    <xf numFmtId="0" fontId="7" fillId="0" borderId="49" xfId="0" applyFont="1" applyBorder="1" applyAlignment="1">
      <alignment horizontal="center" textRotation="90"/>
    </xf>
    <xf numFmtId="0" fontId="7" fillId="0" borderId="42" xfId="0" applyFont="1" applyBorder="1" applyAlignment="1">
      <alignment horizontal="center"/>
    </xf>
    <xf numFmtId="0" fontId="7" fillId="0" borderId="43" xfId="0" applyFont="1" applyBorder="1" applyAlignment="1"/>
    <xf numFmtId="0" fontId="7" fillId="0" borderId="50" xfId="0" applyFont="1" applyBorder="1" applyAlignment="1">
      <alignment horizontal="center"/>
    </xf>
    <xf numFmtId="0" fontId="7" fillId="0" borderId="51" xfId="0" applyFont="1" applyBorder="1" applyAlignment="1"/>
    <xf numFmtId="0" fontId="13" fillId="0" borderId="32" xfId="0" applyFont="1" applyBorder="1" applyAlignment="1">
      <alignment horizontal="center" textRotation="90"/>
    </xf>
    <xf numFmtId="0" fontId="13" fillId="0" borderId="23" xfId="0" applyFont="1" applyBorder="1" applyAlignment="1">
      <alignment horizontal="center" textRotation="90"/>
    </xf>
    <xf numFmtId="0" fontId="14" fillId="0" borderId="48" xfId="0" applyFont="1" applyBorder="1" applyAlignment="1">
      <alignment horizontal="center" textRotation="90"/>
    </xf>
    <xf numFmtId="0" fontId="14" fillId="0" borderId="46" xfId="0" applyFont="1" applyBorder="1" applyAlignment="1">
      <alignment horizontal="center" textRotation="90"/>
    </xf>
    <xf numFmtId="0" fontId="14" fillId="0" borderId="47" xfId="0" applyFont="1" applyBorder="1" applyAlignment="1">
      <alignment horizontal="center" textRotation="90"/>
    </xf>
    <xf numFmtId="0" fontId="13" fillId="0" borderId="4" xfId="0" applyFont="1" applyBorder="1" applyAlignment="1">
      <alignment horizontal="left" vertical="center" shrinkToFit="1"/>
    </xf>
    <xf numFmtId="0" fontId="13" fillId="0" borderId="41" xfId="0" applyFont="1" applyBorder="1" applyAlignment="1">
      <alignment horizontal="left" vertical="center" shrinkToFit="1"/>
    </xf>
    <xf numFmtId="0" fontId="7" fillId="0" borderId="43" xfId="0" applyFont="1" applyBorder="1" applyAlignment="1">
      <alignment horizontal="center" textRotation="90"/>
    </xf>
    <xf numFmtId="0" fontId="14" fillId="0" borderId="50" xfId="0" applyFont="1" applyBorder="1" applyAlignment="1">
      <alignment horizontal="center" textRotation="90"/>
    </xf>
    <xf numFmtId="0" fontId="7" fillId="0" borderId="51" xfId="0" applyFont="1" applyBorder="1" applyAlignment="1">
      <alignment horizontal="center" textRotation="90"/>
    </xf>
    <xf numFmtId="0" fontId="11" fillId="0" borderId="14" xfId="0" applyFont="1" applyBorder="1" applyAlignment="1">
      <alignment horizontal="center" textRotation="90"/>
    </xf>
    <xf numFmtId="0" fontId="11" fillId="0" borderId="24" xfId="0" applyFont="1" applyBorder="1" applyAlignment="1">
      <alignment horizontal="center" textRotation="90"/>
    </xf>
    <xf numFmtId="0" fontId="7" fillId="0" borderId="0" xfId="0" applyFont="1" applyAlignment="1">
      <alignment horizontal="center"/>
    </xf>
    <xf numFmtId="0" fontId="13" fillId="0" borderId="8" xfId="0" applyFont="1" applyBorder="1" applyAlignment="1">
      <alignment horizontal="center"/>
    </xf>
    <xf numFmtId="0" fontId="13" fillId="0" borderId="32" xfId="0" applyFont="1" applyBorder="1" applyAlignment="1">
      <alignment horizontal="center"/>
    </xf>
    <xf numFmtId="0" fontId="7" fillId="0" borderId="8" xfId="0" applyFont="1" applyBorder="1" applyAlignment="1">
      <alignment horizontal="center"/>
    </xf>
    <xf numFmtId="0" fontId="7" fillId="0" borderId="32" xfId="0" applyFont="1" applyBorder="1" applyAlignment="1">
      <alignment horizontal="center"/>
    </xf>
    <xf numFmtId="0" fontId="22" fillId="0" borderId="0" xfId="0" applyFont="1" applyAlignment="1">
      <alignment horizontal="center" shrinkToFit="1"/>
    </xf>
    <xf numFmtId="0" fontId="22" fillId="0" borderId="0" xfId="0" applyFont="1" applyAlignment="1">
      <alignment horizontal="center"/>
    </xf>
    <xf numFmtId="0" fontId="5" fillId="0" borderId="0" xfId="0" applyFont="1" applyAlignment="1">
      <alignment horizontal="left" wrapText="1"/>
    </xf>
    <xf numFmtId="0" fontId="30" fillId="0" borderId="0" xfId="0" applyFont="1" applyAlignment="1">
      <alignment horizontal="left" vertical="top" wrapText="1"/>
    </xf>
    <xf numFmtId="0" fontId="21" fillId="0" borderId="0" xfId="0" applyFont="1" applyAlignment="1">
      <alignment horizontal="center" shrinkToFit="1"/>
    </xf>
    <xf numFmtId="0" fontId="22" fillId="0" borderId="0" xfId="0" applyFont="1" applyAlignment="1">
      <alignment horizontal="left" shrinkToFit="1"/>
    </xf>
    <xf numFmtId="0" fontId="27" fillId="0" borderId="0" xfId="0" applyFont="1" applyAlignment="1">
      <alignment horizontal="left"/>
    </xf>
    <xf numFmtId="0" fontId="32" fillId="0" borderId="0" xfId="0" applyFont="1" applyAlignment="1">
      <alignment horizontal="left" wrapText="1"/>
    </xf>
    <xf numFmtId="169" fontId="10" fillId="0" borderId="0" xfId="0" applyNumberFormat="1" applyFont="1" applyAlignment="1">
      <alignment horizontal="right" shrinkToFit="1"/>
    </xf>
    <xf numFmtId="0" fontId="9" fillId="0" borderId="0" xfId="0" applyFont="1" applyAlignment="1">
      <alignment horizontal="center" shrinkToFit="1"/>
    </xf>
    <xf numFmtId="14" fontId="25" fillId="0" borderId="0" xfId="0" applyNumberFormat="1" applyFont="1" applyAlignment="1">
      <alignment horizontal="left"/>
    </xf>
    <xf numFmtId="0" fontId="31" fillId="0" borderId="0" xfId="0" applyFont="1" applyAlignment="1">
      <alignment horizontal="center" shrinkToFit="1"/>
    </xf>
    <xf numFmtId="0" fontId="29" fillId="0" borderId="0" xfId="0" applyFont="1" applyAlignment="1">
      <alignment horizontal="center" wrapText="1"/>
    </xf>
    <xf numFmtId="0" fontId="25" fillId="0" borderId="0" xfId="0" applyFont="1" applyAlignment="1">
      <alignment horizontal="center" shrinkToFit="1"/>
    </xf>
    <xf numFmtId="0" fontId="26" fillId="0" borderId="0" xfId="0" applyFont="1" applyAlignment="1">
      <alignment horizontal="center" shrinkToFit="1"/>
    </xf>
    <xf numFmtId="0" fontId="26" fillId="0" borderId="0" xfId="0" applyFont="1" applyAlignment="1">
      <alignment horizontal="left"/>
    </xf>
    <xf numFmtId="0" fontId="7" fillId="2" borderId="0" xfId="0" applyFont="1" applyFill="1" applyAlignment="1" applyProtection="1">
      <alignment shrinkToFit="1"/>
      <protection locked="0"/>
    </xf>
    <xf numFmtId="0" fontId="7" fillId="2" borderId="0" xfId="0" applyFont="1" applyFill="1" applyAlignment="1" applyProtection="1">
      <alignment horizontal="left" shrinkToFit="1"/>
      <protection locked="0"/>
    </xf>
    <xf numFmtId="49" fontId="11" fillId="2" borderId="0" xfId="0" applyNumberFormat="1" applyFont="1" applyFill="1" applyAlignment="1" applyProtection="1">
      <alignment shrinkToFit="1"/>
      <protection locked="0"/>
    </xf>
    <xf numFmtId="0" fontId="7" fillId="2" borderId="0" xfId="0" applyFont="1" applyFill="1" applyAlignment="1" applyProtection="1">
      <alignment shrinkToFit="1"/>
      <protection locked="0"/>
    </xf>
    <xf numFmtId="0" fontId="7" fillId="4" borderId="1" xfId="0" applyFont="1" applyFill="1" applyBorder="1" applyAlignment="1" applyProtection="1">
      <alignment shrinkToFit="1"/>
      <protection locked="0"/>
    </xf>
    <xf numFmtId="49" fontId="11" fillId="4" borderId="1" xfId="0" applyNumberFormat="1" applyFont="1" applyFill="1" applyBorder="1" applyAlignment="1" applyProtection="1">
      <alignment horizontal="left" shrinkToFit="1"/>
      <protection locked="0"/>
    </xf>
    <xf numFmtId="0" fontId="11" fillId="4" borderId="1" xfId="0" applyFont="1" applyFill="1" applyBorder="1" applyAlignment="1" applyProtection="1">
      <alignment horizontal="left" shrinkToFit="1"/>
      <protection locked="0"/>
    </xf>
    <xf numFmtId="0" fontId="7" fillId="4" borderId="1" xfId="0" applyFont="1" applyFill="1" applyBorder="1" applyAlignment="1" applyProtection="1">
      <alignment horizontal="left" shrinkToFit="1"/>
      <protection locked="0"/>
    </xf>
    <xf numFmtId="169" fontId="22" fillId="0" borderId="0" xfId="0" applyNumberFormat="1" applyFont="1" applyAlignment="1">
      <alignment horizontal="left" shrinkToFit="1"/>
    </xf>
    <xf numFmtId="14" fontId="25" fillId="0" borderId="0" xfId="0" applyNumberFormat="1" applyFont="1" applyAlignment="1">
      <alignment horizontal="left" shrinkToFit="1"/>
    </xf>
  </cellXfs>
  <cellStyles count="2">
    <cellStyle name="Komma" xfId="1" builtinId="3"/>
    <cellStyle name="Standard" xfId="0" builtinId="0"/>
  </cellStyles>
  <dxfs count="3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FF0000"/>
      </font>
    </dxf>
    <dxf>
      <font>
        <color theme="0" tint="-4.9989318521683403E-2"/>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ill>
        <patternFill patternType="lightHorizontal"/>
      </fill>
    </dxf>
    <dxf>
      <fill>
        <patternFill patternType="lightUp"/>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9"/>
      </font>
      <fill>
        <patternFill>
          <bgColor indexed="10"/>
        </patternFill>
      </fill>
    </dxf>
    <dxf>
      <font>
        <condense val="0"/>
        <extend val="0"/>
        <color indexed="10"/>
      </font>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10</xdr:col>
      <xdr:colOff>180796</xdr:colOff>
      <xdr:row>2</xdr:row>
      <xdr:rowOff>75948</xdr:rowOff>
    </xdr:to>
    <xdr:pic>
      <xdr:nvPicPr>
        <xdr:cNvPr id="3" name="Grafik 2">
          <a:extLst>
            <a:ext uri="{FF2B5EF4-FFF2-40B4-BE49-F238E27FC236}">
              <a16:creationId xmlns:a16="http://schemas.microsoft.com/office/drawing/2014/main" id="{570EDCBC-2CFD-4C9B-B64B-587FE04631C7}"/>
            </a:ext>
          </a:extLst>
        </xdr:cNvPr>
        <xdr:cNvPicPr>
          <a:picLocks noChangeAspect="1"/>
        </xdr:cNvPicPr>
      </xdr:nvPicPr>
      <xdr:blipFill>
        <a:blip xmlns:r="http://schemas.openxmlformats.org/officeDocument/2006/relationships" r:embed="rId1"/>
        <a:stretch>
          <a:fillRect/>
        </a:stretch>
      </xdr:blipFill>
      <xdr:spPr>
        <a:xfrm>
          <a:off x="5581650" y="161925"/>
          <a:ext cx="1428571" cy="20190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10</xdr:col>
      <xdr:colOff>199846</xdr:colOff>
      <xdr:row>2</xdr:row>
      <xdr:rowOff>75948</xdr:rowOff>
    </xdr:to>
    <xdr:pic>
      <xdr:nvPicPr>
        <xdr:cNvPr id="2" name="Grafik 1">
          <a:extLst>
            <a:ext uri="{FF2B5EF4-FFF2-40B4-BE49-F238E27FC236}">
              <a16:creationId xmlns:a16="http://schemas.microsoft.com/office/drawing/2014/main" id="{E2CA214E-E8B3-4497-AD07-151D55BB49E2}"/>
            </a:ext>
          </a:extLst>
        </xdr:cNvPr>
        <xdr:cNvPicPr>
          <a:picLocks noChangeAspect="1"/>
        </xdr:cNvPicPr>
      </xdr:nvPicPr>
      <xdr:blipFill>
        <a:blip xmlns:r="http://schemas.openxmlformats.org/officeDocument/2006/relationships" r:embed="rId1"/>
        <a:stretch>
          <a:fillRect/>
        </a:stretch>
      </xdr:blipFill>
      <xdr:spPr>
        <a:xfrm>
          <a:off x="5581650" y="161925"/>
          <a:ext cx="1428571" cy="20190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9</xdr:col>
      <xdr:colOff>666571</xdr:colOff>
      <xdr:row>2</xdr:row>
      <xdr:rowOff>56898</xdr:rowOff>
    </xdr:to>
    <xdr:pic>
      <xdr:nvPicPr>
        <xdr:cNvPr id="2" name="Grafik 1">
          <a:extLst>
            <a:ext uri="{FF2B5EF4-FFF2-40B4-BE49-F238E27FC236}">
              <a16:creationId xmlns:a16="http://schemas.microsoft.com/office/drawing/2014/main" id="{B2AA425D-91F0-422D-8E49-5D3E7147CC3C}"/>
            </a:ext>
          </a:extLst>
        </xdr:cNvPr>
        <xdr:cNvPicPr>
          <a:picLocks noChangeAspect="1"/>
        </xdr:cNvPicPr>
      </xdr:nvPicPr>
      <xdr:blipFill>
        <a:blip xmlns:r="http://schemas.openxmlformats.org/officeDocument/2006/relationships" r:embed="rId1"/>
        <a:stretch>
          <a:fillRect/>
        </a:stretch>
      </xdr:blipFill>
      <xdr:spPr>
        <a:xfrm>
          <a:off x="6686550" y="161925"/>
          <a:ext cx="1428571" cy="20190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9</xdr:col>
      <xdr:colOff>666571</xdr:colOff>
      <xdr:row>2</xdr:row>
      <xdr:rowOff>75948</xdr:rowOff>
    </xdr:to>
    <xdr:pic>
      <xdr:nvPicPr>
        <xdr:cNvPr id="2" name="Grafik 1">
          <a:extLst>
            <a:ext uri="{FF2B5EF4-FFF2-40B4-BE49-F238E27FC236}">
              <a16:creationId xmlns:a16="http://schemas.microsoft.com/office/drawing/2014/main" id="{91B024EF-4E56-4A04-8BC2-66282A9861C3}"/>
            </a:ext>
          </a:extLst>
        </xdr:cNvPr>
        <xdr:cNvPicPr>
          <a:picLocks noChangeAspect="1"/>
        </xdr:cNvPicPr>
      </xdr:nvPicPr>
      <xdr:blipFill>
        <a:blip xmlns:r="http://schemas.openxmlformats.org/officeDocument/2006/relationships" r:embed="rId1"/>
        <a:stretch>
          <a:fillRect/>
        </a:stretch>
      </xdr:blipFill>
      <xdr:spPr>
        <a:xfrm>
          <a:off x="4914900" y="161925"/>
          <a:ext cx="1428571" cy="20190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B1:Z46"/>
  <sheetViews>
    <sheetView tabSelected="1" topLeftCell="L2" workbookViewId="0">
      <selection activeCell="P14" sqref="P14:Q14"/>
    </sheetView>
  </sheetViews>
  <sheetFormatPr baseColWidth="10" defaultColWidth="11.5703125" defaultRowHeight="12.75" x14ac:dyDescent="0.2"/>
  <cols>
    <col min="1" max="1" width="1.85546875" style="15" customWidth="1"/>
    <col min="2" max="2" width="4.42578125" style="15" customWidth="1"/>
    <col min="3" max="3" width="11.5703125" style="15"/>
    <col min="4" max="4" width="4.42578125" style="15" customWidth="1"/>
    <col min="5" max="5" width="11.5703125" style="15"/>
    <col min="6" max="6" width="4.42578125" style="15" customWidth="1"/>
    <col min="7" max="7" width="11.5703125" style="15"/>
    <col min="8" max="8" width="4.42578125" style="15" customWidth="1"/>
    <col min="9" max="9" width="11.5703125" style="15"/>
    <col min="10" max="10" width="4.42578125" style="15" customWidth="1"/>
    <col min="11" max="11" width="11.5703125" style="15"/>
    <col min="12" max="12" width="6.7109375" style="15" customWidth="1"/>
    <col min="13" max="13" width="3.7109375" style="15" customWidth="1"/>
    <col min="14" max="14" width="6.7109375" style="15" customWidth="1"/>
    <col min="15" max="15" width="2.42578125" style="15" customWidth="1"/>
    <col min="16" max="16" width="3.7109375" style="15" customWidth="1"/>
    <col min="17" max="17" width="8.42578125" style="15" customWidth="1"/>
    <col min="18" max="18" width="3.5703125" style="15" customWidth="1"/>
    <col min="19" max="19" width="7.7109375" style="15" customWidth="1"/>
    <col min="20" max="20" width="5" style="15" customWidth="1"/>
    <col min="21" max="21" width="2.42578125" style="15" customWidth="1"/>
    <col min="22" max="22" width="5.85546875" style="15" customWidth="1"/>
    <col min="23" max="23" width="6.140625" style="15" customWidth="1"/>
    <col min="24" max="24" width="2.28515625" style="15" customWidth="1"/>
    <col min="25" max="25" width="5" style="15" customWidth="1"/>
    <col min="26" max="26" width="5.85546875" style="15" customWidth="1"/>
    <col min="27" max="16384" width="11.5703125" style="15"/>
  </cols>
  <sheetData>
    <row r="1" spans="2:26" ht="18" x14ac:dyDescent="0.25">
      <c r="B1" s="14" t="s">
        <v>57</v>
      </c>
      <c r="N1" s="153" t="s">
        <v>75</v>
      </c>
      <c r="O1" s="153"/>
      <c r="P1" s="153"/>
      <c r="Q1" s="153"/>
      <c r="R1" s="153"/>
      <c r="S1" s="153"/>
      <c r="T1" s="153"/>
      <c r="U1" s="153"/>
      <c r="V1" s="153"/>
      <c r="W1" s="153"/>
      <c r="X1" s="153"/>
      <c r="Y1" s="153"/>
      <c r="Z1" s="153"/>
    </row>
    <row r="2" spans="2:26" ht="21" customHeight="1" x14ac:dyDescent="0.2">
      <c r="B2" s="15" t="s">
        <v>58</v>
      </c>
    </row>
    <row r="3" spans="2:26" ht="19.5" x14ac:dyDescent="0.25">
      <c r="N3" s="154" t="s">
        <v>76</v>
      </c>
      <c r="O3" s="154"/>
      <c r="P3" s="154"/>
      <c r="Q3" s="154"/>
      <c r="R3" s="154"/>
      <c r="S3" s="154"/>
      <c r="T3" s="154"/>
      <c r="U3" s="154"/>
      <c r="V3" s="154"/>
      <c r="W3" s="154"/>
      <c r="X3" s="154"/>
      <c r="Y3" s="154"/>
      <c r="Z3" s="154"/>
    </row>
    <row r="4" spans="2:26" ht="16.149999999999999" customHeight="1" x14ac:dyDescent="0.25">
      <c r="B4" s="17" t="str">
        <f>IF(VLOOKUP(C4,nst,29,FALSE)&gt;0,VLOOKUP(C4,nst,29,FALSE),"")</f>
        <v/>
      </c>
      <c r="C4" s="15" t="s">
        <v>38</v>
      </c>
      <c r="D4" s="17" t="str">
        <f>IF(VLOOKUP(E4,nst,29,FALSE)&gt;0,VLOOKUP(E4,nst,29,FALSE),"")</f>
        <v/>
      </c>
      <c r="E4" s="15" t="s">
        <v>39</v>
      </c>
      <c r="F4" s="17" t="str">
        <f>IF(VLOOKUP(G4,nst,29,FALSE)&gt;0,VLOOKUP(G4,nst,29,FALSE),"")</f>
        <v/>
      </c>
      <c r="G4" s="15" t="s">
        <v>40</v>
      </c>
      <c r="H4" s="17" t="str">
        <f>IF(VLOOKUP(I4,nst,29,FALSE)&gt;0,VLOOKUP(I4,nst,29,FALSE),"")</f>
        <v/>
      </c>
      <c r="I4" s="15" t="s">
        <v>41</v>
      </c>
      <c r="J4" s="17" t="str">
        <f>IF(VLOOKUP(K4,nst,29,FALSE)&gt;0,VLOOKUP(K4,nst,29,FALSE),"")</f>
        <v/>
      </c>
      <c r="K4" s="15" t="s">
        <v>54</v>
      </c>
      <c r="N4" s="156"/>
      <c r="O4" s="156"/>
      <c r="P4" s="156"/>
      <c r="Q4" s="156"/>
      <c r="R4" s="156"/>
      <c r="S4" s="156"/>
      <c r="T4" s="156"/>
      <c r="U4" s="156"/>
      <c r="V4" s="156"/>
      <c r="W4" s="156"/>
      <c r="X4" s="156"/>
      <c r="Y4" s="156"/>
      <c r="Z4" s="156"/>
    </row>
    <row r="5" spans="2:26" ht="19.5" x14ac:dyDescent="0.25">
      <c r="N5" s="154" t="s">
        <v>77</v>
      </c>
      <c r="O5" s="154"/>
      <c r="P5" s="154"/>
      <c r="Q5" s="154"/>
      <c r="R5" s="154"/>
      <c r="S5" s="154"/>
      <c r="T5" s="154"/>
      <c r="U5" s="154"/>
      <c r="V5" s="154"/>
      <c r="W5" s="154"/>
      <c r="X5" s="154"/>
      <c r="Y5" s="154"/>
      <c r="Z5" s="154"/>
    </row>
    <row r="6" spans="2:26" ht="13.15" customHeight="1" x14ac:dyDescent="0.25">
      <c r="B6" s="17" t="str">
        <f>IF(VLOOKUP(C6,nst,29,FALSE)&gt;0,VLOOKUP(C6,nst,29,FALSE),"")</f>
        <v/>
      </c>
      <c r="C6" s="15" t="s">
        <v>42</v>
      </c>
      <c r="D6" s="15" t="s">
        <v>59</v>
      </c>
      <c r="H6" s="17" t="str">
        <f>IF(VLOOKUP(I6,nst,29,FALSE)&gt;0,VLOOKUP(I6,nst,29,FALSE),"")</f>
        <v/>
      </c>
      <c r="I6" s="15" t="s">
        <v>48</v>
      </c>
      <c r="J6" s="15" t="s">
        <v>65</v>
      </c>
      <c r="N6" s="16"/>
      <c r="O6" s="16"/>
      <c r="P6" s="16"/>
      <c r="Q6" s="16"/>
      <c r="R6" s="16"/>
      <c r="S6" s="16"/>
      <c r="T6" s="16"/>
      <c r="U6" s="16"/>
      <c r="V6" s="16"/>
      <c r="W6" s="16"/>
      <c r="X6" s="16"/>
      <c r="Y6" s="16"/>
      <c r="Z6" s="16"/>
    </row>
    <row r="7" spans="2:26" ht="13.15" customHeight="1" x14ac:dyDescent="0.25">
      <c r="B7" s="18"/>
      <c r="H7" s="18"/>
      <c r="N7" s="16"/>
      <c r="O7" s="16"/>
      <c r="P7" s="16"/>
      <c r="Q7" s="16"/>
      <c r="R7" s="16"/>
      <c r="S7" s="16"/>
      <c r="T7" s="16"/>
      <c r="U7" s="16"/>
      <c r="V7" s="16"/>
      <c r="W7" s="16"/>
      <c r="X7" s="16"/>
      <c r="Y7" s="16"/>
      <c r="Z7" s="16"/>
    </row>
    <row r="8" spans="2:26" ht="13.15" customHeight="1" x14ac:dyDescent="0.25">
      <c r="B8" s="17" t="str">
        <f>IF(VLOOKUP(C8,nst,29,FALSE)&gt;0,VLOOKUP(C8,nst,29,FALSE),"")</f>
        <v/>
      </c>
      <c r="C8" s="15" t="s">
        <v>43</v>
      </c>
      <c r="D8" s="15" t="s">
        <v>60</v>
      </c>
      <c r="H8" s="17" t="str">
        <f>IF(VLOOKUP(I8,nst,29,FALSE)&gt;0,VLOOKUP(I8,nst,29,FALSE),"")</f>
        <v/>
      </c>
      <c r="I8" s="15" t="s">
        <v>49</v>
      </c>
      <c r="J8" s="15" t="s">
        <v>66</v>
      </c>
      <c r="N8" s="16"/>
      <c r="O8" s="16"/>
      <c r="P8" s="16"/>
      <c r="Q8" s="16"/>
      <c r="R8" s="16"/>
      <c r="S8" s="16"/>
      <c r="T8" s="16"/>
      <c r="U8" s="16"/>
      <c r="V8" s="16"/>
      <c r="W8" s="16"/>
      <c r="X8" s="16"/>
      <c r="Y8" s="16"/>
      <c r="Z8" s="16"/>
    </row>
    <row r="9" spans="2:26" ht="13.15" customHeight="1" x14ac:dyDescent="0.25">
      <c r="B9" s="18"/>
      <c r="H9" s="18"/>
      <c r="N9" s="16"/>
      <c r="O9" s="16"/>
      <c r="P9" s="16"/>
      <c r="Q9" s="16"/>
      <c r="R9" s="16"/>
      <c r="S9" s="16"/>
      <c r="T9" s="16"/>
      <c r="U9" s="16"/>
      <c r="V9" s="16"/>
      <c r="W9" s="16"/>
      <c r="X9" s="16"/>
      <c r="Y9" s="16"/>
      <c r="Z9" s="16"/>
    </row>
    <row r="10" spans="2:26" ht="13.15" customHeight="1" x14ac:dyDescent="0.25">
      <c r="B10" s="17" t="str">
        <f>IF(VLOOKUP(C10,nst,29,FALSE)&gt;0,VLOOKUP(C10,nst,29,FALSE),"")</f>
        <v/>
      </c>
      <c r="C10" s="15" t="s">
        <v>44</v>
      </c>
      <c r="D10" s="15" t="s">
        <v>61</v>
      </c>
      <c r="H10" s="17" t="str">
        <f>IF(VLOOKUP(I10,nst,29,FALSE)&gt;0,VLOOKUP(I10,nst,29,FALSE),"")</f>
        <v/>
      </c>
      <c r="I10" s="15" t="s">
        <v>50</v>
      </c>
      <c r="J10" s="15" t="s">
        <v>67</v>
      </c>
      <c r="N10" s="16"/>
      <c r="O10" s="16"/>
      <c r="P10" s="16"/>
      <c r="Q10" s="16"/>
      <c r="R10" s="16"/>
      <c r="S10" s="16"/>
      <c r="T10" s="16"/>
      <c r="U10" s="16"/>
      <c r="V10" s="16"/>
      <c r="W10" s="16"/>
      <c r="X10" s="16"/>
      <c r="Y10" s="16"/>
      <c r="Z10" s="16"/>
    </row>
    <row r="11" spans="2:26" ht="13.15" customHeight="1" x14ac:dyDescent="0.2">
      <c r="B11" s="18"/>
      <c r="H11" s="18"/>
    </row>
    <row r="12" spans="2:26" ht="12" customHeight="1" x14ac:dyDescent="0.2">
      <c r="B12" s="17" t="str">
        <f>IF(VLOOKUP(C12,nst,29,FALSE)&gt;0,VLOOKUP(C12,nst,29,FALSE),"")</f>
        <v/>
      </c>
      <c r="C12" s="15" t="s">
        <v>45</v>
      </c>
      <c r="D12" s="15" t="s">
        <v>62</v>
      </c>
      <c r="H12" s="17" t="str">
        <f>IF(VLOOKUP(I12,nst,29,FALSE)&gt;0,VLOOKUP(I12,nst,29,FALSE),"")</f>
        <v/>
      </c>
      <c r="I12" s="15" t="s">
        <v>51</v>
      </c>
      <c r="J12" s="15" t="s">
        <v>68</v>
      </c>
      <c r="O12" s="19" t="str">
        <f>IF(Kyuprüfung,"X","")</f>
        <v/>
      </c>
      <c r="P12" s="20" t="s">
        <v>123</v>
      </c>
      <c r="Q12" s="20"/>
      <c r="U12" s="19" t="str">
        <f>IF(Danprüfung,"X","")</f>
        <v/>
      </c>
      <c r="V12" s="20" t="s">
        <v>124</v>
      </c>
    </row>
    <row r="13" spans="2:26" x14ac:dyDescent="0.2">
      <c r="B13" s="18"/>
      <c r="H13" s="18"/>
    </row>
    <row r="14" spans="2:26" x14ac:dyDescent="0.2">
      <c r="B14" s="17" t="str">
        <f>IF(VLOOKUP(C14,nst,29,FALSE)&gt;0,VLOOKUP(C14,nst,29,FALSE),"")</f>
        <v/>
      </c>
      <c r="C14" s="15" t="s">
        <v>46</v>
      </c>
      <c r="D14" s="15" t="s">
        <v>63</v>
      </c>
      <c r="H14" s="17" t="str">
        <f>IF(VLOOKUP(I14,nst,29,FALSE)&gt;0,VLOOKUP(I14,nst,29,FALSE),"")</f>
        <v/>
      </c>
      <c r="I14" s="15" t="s">
        <v>52</v>
      </c>
      <c r="J14" s="15" t="s">
        <v>69</v>
      </c>
      <c r="N14" s="21" t="s">
        <v>78</v>
      </c>
      <c r="O14" s="21"/>
      <c r="P14" s="159">
        <f ca="1">TODAY()</f>
        <v>46040</v>
      </c>
      <c r="Q14" s="159"/>
      <c r="R14" s="21"/>
      <c r="S14" s="22" t="s">
        <v>79</v>
      </c>
      <c r="T14" s="89"/>
      <c r="U14" s="21" t="s">
        <v>80</v>
      </c>
      <c r="W14" s="22"/>
      <c r="X14" s="22" t="s">
        <v>81</v>
      </c>
      <c r="Y14" s="89"/>
      <c r="Z14" s="21" t="s">
        <v>80</v>
      </c>
    </row>
    <row r="15" spans="2:26" x14ac:dyDescent="0.2">
      <c r="B15" s="18"/>
      <c r="H15" s="18"/>
      <c r="N15" s="21"/>
      <c r="O15" s="21"/>
      <c r="P15" s="21"/>
      <c r="Q15" s="21"/>
      <c r="R15" s="21"/>
      <c r="S15" s="21"/>
      <c r="T15" s="21"/>
      <c r="U15" s="21"/>
      <c r="V15" s="21"/>
      <c r="W15" s="21"/>
      <c r="X15" s="21"/>
      <c r="Y15" s="21"/>
      <c r="Z15" s="21"/>
    </row>
    <row r="16" spans="2:26" x14ac:dyDescent="0.2">
      <c r="B16" s="17" t="str">
        <f>IF(VLOOKUP(C16,nst,29,FALSE)&gt;0,VLOOKUP(C16,nst,29,FALSE),"")</f>
        <v/>
      </c>
      <c r="C16" s="15" t="s">
        <v>47</v>
      </c>
      <c r="D16" s="15" t="s">
        <v>64</v>
      </c>
      <c r="H16" s="17" t="str">
        <f>IF(VLOOKUP(I16,nst,29,FALSE)&gt;0,VLOOKUP(I16,nst,29,FALSE),"")</f>
        <v/>
      </c>
      <c r="I16" s="15" t="s">
        <v>53</v>
      </c>
      <c r="J16" s="15" t="s">
        <v>70</v>
      </c>
      <c r="N16" s="21" t="s">
        <v>82</v>
      </c>
      <c r="O16" s="21"/>
      <c r="P16" s="21"/>
      <c r="Q16" s="21"/>
      <c r="R16" s="21"/>
      <c r="S16" s="215"/>
      <c r="T16" s="215"/>
      <c r="U16" s="215"/>
      <c r="V16" s="215"/>
      <c r="W16" s="215"/>
      <c r="X16" s="215"/>
      <c r="Y16" s="215"/>
      <c r="Z16" s="215"/>
    </row>
    <row r="17" spans="2:26" x14ac:dyDescent="0.2">
      <c r="N17" s="21"/>
      <c r="O17" s="21"/>
      <c r="P17" s="21"/>
      <c r="Q17" s="21"/>
      <c r="R17" s="21"/>
      <c r="S17" s="21"/>
      <c r="T17" s="21"/>
      <c r="U17" s="21"/>
      <c r="V17" s="21"/>
      <c r="W17" s="21"/>
      <c r="X17" s="21"/>
      <c r="Y17" s="21"/>
      <c r="Z17" s="21"/>
    </row>
    <row r="18" spans="2:26" x14ac:dyDescent="0.2">
      <c r="N18" s="21" t="s">
        <v>83</v>
      </c>
      <c r="O18" s="21"/>
      <c r="P18" s="21"/>
      <c r="Q18" s="21"/>
      <c r="R18" s="21"/>
      <c r="S18" s="216"/>
      <c r="T18" s="216"/>
      <c r="U18" s="216"/>
      <c r="V18" s="216"/>
      <c r="W18" s="216"/>
      <c r="X18" s="216"/>
      <c r="Y18" s="216"/>
      <c r="Z18" s="216"/>
    </row>
    <row r="19" spans="2:26" x14ac:dyDescent="0.2">
      <c r="B19" s="17" t="str">
        <f>IF(COUNTIF(Prüfungsliste!AI4:AI23,"NB")&gt;0,COUNTIF(Prüfungsliste!AI4:AI23,"NB"),"")</f>
        <v/>
      </c>
      <c r="C19" s="15" t="s">
        <v>71</v>
      </c>
    </row>
    <row r="21" spans="2:26" x14ac:dyDescent="0.2">
      <c r="B21" s="15" t="s">
        <v>72</v>
      </c>
      <c r="N21" s="15" t="s">
        <v>85</v>
      </c>
      <c r="S21" s="23">
        <f>IF(S23&lt;&gt;"",1,0)+IF(S25&lt;&gt;"",1,0)+IF(S27&lt;&gt;"",1,0)</f>
        <v>0</v>
      </c>
    </row>
    <row r="23" spans="2:26" x14ac:dyDescent="0.2">
      <c r="B23" s="158"/>
      <c r="C23" s="158"/>
      <c r="D23" s="158"/>
      <c r="E23" s="158"/>
      <c r="F23" s="158"/>
      <c r="G23" s="158"/>
      <c r="H23" s="158"/>
      <c r="I23" s="158"/>
      <c r="J23" s="158"/>
      <c r="K23" s="158"/>
      <c r="N23" s="15" t="s">
        <v>86</v>
      </c>
      <c r="S23" s="217"/>
      <c r="T23" s="217"/>
      <c r="U23" s="217"/>
      <c r="V23" s="217"/>
      <c r="W23" s="217"/>
      <c r="Y23" s="214"/>
      <c r="Z23" s="15" t="s">
        <v>84</v>
      </c>
    </row>
    <row r="24" spans="2:26" x14ac:dyDescent="0.2">
      <c r="B24" s="158"/>
      <c r="C24" s="158"/>
      <c r="D24" s="158"/>
      <c r="E24" s="158"/>
      <c r="F24" s="158"/>
      <c r="G24" s="158"/>
      <c r="H24" s="158"/>
      <c r="I24" s="158"/>
      <c r="J24" s="158"/>
      <c r="K24" s="158"/>
    </row>
    <row r="25" spans="2:26" x14ac:dyDescent="0.2">
      <c r="B25" s="158"/>
      <c r="C25" s="158"/>
      <c r="D25" s="158"/>
      <c r="E25" s="158"/>
      <c r="F25" s="158"/>
      <c r="G25" s="158"/>
      <c r="H25" s="158"/>
      <c r="I25" s="158"/>
      <c r="J25" s="158"/>
      <c r="K25" s="158"/>
      <c r="S25" s="217"/>
      <c r="T25" s="217"/>
      <c r="U25" s="217"/>
      <c r="V25" s="217"/>
      <c r="W25" s="217"/>
      <c r="Y25" s="214"/>
      <c r="Z25" s="15" t="s">
        <v>84</v>
      </c>
    </row>
    <row r="26" spans="2:26" x14ac:dyDescent="0.2">
      <c r="B26" s="158"/>
      <c r="C26" s="158"/>
      <c r="D26" s="158"/>
      <c r="E26" s="158"/>
      <c r="F26" s="158"/>
      <c r="G26" s="158"/>
      <c r="H26" s="158"/>
      <c r="I26" s="158"/>
      <c r="J26" s="158"/>
      <c r="K26" s="158"/>
    </row>
    <row r="27" spans="2:26" x14ac:dyDescent="0.2">
      <c r="B27" s="158"/>
      <c r="C27" s="158"/>
      <c r="D27" s="158"/>
      <c r="E27" s="158"/>
      <c r="F27" s="158"/>
      <c r="G27" s="158"/>
      <c r="H27" s="158"/>
      <c r="I27" s="158"/>
      <c r="J27" s="158"/>
      <c r="K27" s="158"/>
      <c r="S27" s="217"/>
      <c r="T27" s="217"/>
      <c r="U27" s="217"/>
      <c r="V27" s="217"/>
      <c r="W27" s="217"/>
      <c r="Y27" s="214"/>
      <c r="Z27" s="15" t="s">
        <v>84</v>
      </c>
    </row>
    <row r="28" spans="2:26" x14ac:dyDescent="0.2">
      <c r="B28" s="158"/>
      <c r="C28" s="158"/>
      <c r="D28" s="158"/>
      <c r="E28" s="158"/>
      <c r="F28" s="158"/>
      <c r="G28" s="158"/>
      <c r="H28" s="158"/>
      <c r="I28" s="158"/>
      <c r="J28" s="158"/>
      <c r="K28" s="158"/>
    </row>
    <row r="29" spans="2:26" ht="19.149999999999999" customHeight="1" thickBot="1" x14ac:dyDescent="0.25">
      <c r="N29" s="24"/>
      <c r="O29" s="24"/>
      <c r="P29" s="24"/>
      <c r="Q29" s="24"/>
      <c r="R29" s="24"/>
      <c r="S29" s="24"/>
      <c r="T29" s="24"/>
      <c r="U29" s="24"/>
      <c r="V29" s="24"/>
      <c r="W29" s="24"/>
      <c r="X29" s="24"/>
      <c r="Y29" s="24"/>
      <c r="Z29" s="24"/>
    </row>
    <row r="30" spans="2:26" x14ac:dyDescent="0.2">
      <c r="B30" s="15" t="s">
        <v>73</v>
      </c>
      <c r="N30" s="21" t="s">
        <v>87</v>
      </c>
    </row>
    <row r="32" spans="2:26" x14ac:dyDescent="0.2">
      <c r="B32" s="158"/>
      <c r="C32" s="158"/>
      <c r="D32" s="158"/>
      <c r="E32" s="158"/>
      <c r="F32" s="158"/>
      <c r="G32" s="158"/>
      <c r="H32" s="158"/>
      <c r="I32" s="158"/>
      <c r="J32" s="158"/>
      <c r="K32" s="158"/>
      <c r="N32" s="21" t="s">
        <v>88</v>
      </c>
      <c r="O32" s="21"/>
      <c r="Q32" s="212"/>
    </row>
    <row r="33" spans="2:26" ht="13.15" customHeight="1" x14ac:dyDescent="0.2">
      <c r="B33" s="158"/>
      <c r="C33" s="158"/>
      <c r="D33" s="158"/>
      <c r="E33" s="158"/>
      <c r="F33" s="158"/>
      <c r="G33" s="158"/>
      <c r="H33" s="158"/>
      <c r="I33" s="158"/>
      <c r="J33" s="158"/>
      <c r="K33" s="158"/>
    </row>
    <row r="34" spans="2:26" x14ac:dyDescent="0.2">
      <c r="B34" s="158"/>
      <c r="C34" s="158"/>
      <c r="D34" s="158"/>
      <c r="E34" s="158"/>
      <c r="F34" s="158"/>
      <c r="G34" s="158"/>
      <c r="H34" s="158"/>
      <c r="I34" s="158"/>
      <c r="J34" s="158"/>
      <c r="K34" s="158"/>
      <c r="N34" s="15" t="s">
        <v>89</v>
      </c>
      <c r="R34" s="210"/>
      <c r="S34" s="210"/>
      <c r="U34" s="25" t="s">
        <v>90</v>
      </c>
      <c r="V34" s="211"/>
      <c r="W34" s="211"/>
      <c r="X34" s="211"/>
      <c r="Y34" s="211"/>
      <c r="Z34" s="211"/>
    </row>
    <row r="35" spans="2:26" x14ac:dyDescent="0.2">
      <c r="B35" s="158"/>
      <c r="C35" s="158"/>
      <c r="D35" s="158"/>
      <c r="E35" s="158"/>
      <c r="F35" s="158"/>
      <c r="G35" s="158"/>
      <c r="H35" s="158"/>
      <c r="I35" s="158"/>
      <c r="J35" s="158"/>
      <c r="K35" s="158"/>
    </row>
    <row r="36" spans="2:26" ht="27.6" customHeight="1" x14ac:dyDescent="0.2">
      <c r="B36" s="158"/>
      <c r="C36" s="158"/>
      <c r="D36" s="158"/>
      <c r="E36" s="158"/>
      <c r="F36" s="158"/>
      <c r="G36" s="158"/>
      <c r="H36" s="158"/>
      <c r="I36" s="158"/>
      <c r="J36" s="158"/>
      <c r="K36" s="158"/>
      <c r="N36" s="155" t="s">
        <v>91</v>
      </c>
      <c r="O36" s="155"/>
      <c r="P36" s="155"/>
      <c r="Q36" s="155"/>
      <c r="R36" s="155"/>
      <c r="S36" s="155"/>
      <c r="T36" s="155"/>
      <c r="U36" s="155"/>
      <c r="V36" s="155"/>
      <c r="W36" s="155"/>
      <c r="X36" s="155"/>
      <c r="Y36" s="155"/>
      <c r="Z36" s="155"/>
    </row>
    <row r="37" spans="2:26" x14ac:dyDescent="0.2">
      <c r="B37" s="158"/>
      <c r="C37" s="158"/>
      <c r="D37" s="158"/>
      <c r="E37" s="158"/>
      <c r="F37" s="158"/>
      <c r="G37" s="158"/>
      <c r="H37" s="158"/>
      <c r="I37" s="158"/>
      <c r="J37" s="158"/>
      <c r="K37" s="158"/>
    </row>
    <row r="38" spans="2:26" x14ac:dyDescent="0.2">
      <c r="B38" s="158"/>
      <c r="C38" s="158"/>
      <c r="D38" s="158"/>
      <c r="E38" s="158"/>
      <c r="F38" s="158"/>
      <c r="G38" s="158"/>
      <c r="H38" s="158"/>
      <c r="I38" s="158"/>
      <c r="J38" s="158"/>
      <c r="K38" s="158"/>
      <c r="N38" s="21" t="s">
        <v>92</v>
      </c>
      <c r="T38" s="213"/>
      <c r="U38" s="21" t="s">
        <v>125</v>
      </c>
    </row>
    <row r="39" spans="2:26" x14ac:dyDescent="0.2">
      <c r="B39" s="158"/>
      <c r="C39" s="158"/>
      <c r="D39" s="158"/>
      <c r="E39" s="158"/>
      <c r="F39" s="158"/>
      <c r="G39" s="158"/>
      <c r="H39" s="158"/>
      <c r="I39" s="158"/>
      <c r="J39" s="158"/>
      <c r="K39" s="158"/>
      <c r="U39" s="21"/>
    </row>
    <row r="40" spans="2:26" x14ac:dyDescent="0.2">
      <c r="B40" s="158"/>
      <c r="C40" s="158"/>
      <c r="D40" s="158"/>
      <c r="E40" s="158"/>
      <c r="F40" s="158"/>
      <c r="G40" s="158"/>
      <c r="H40" s="158"/>
      <c r="I40" s="158"/>
      <c r="J40" s="158"/>
      <c r="K40" s="158"/>
      <c r="T40" s="213"/>
      <c r="U40" s="21" t="s">
        <v>126</v>
      </c>
    </row>
    <row r="41" spans="2:26" x14ac:dyDescent="0.2">
      <c r="B41" s="158"/>
      <c r="C41" s="158"/>
      <c r="D41" s="158"/>
      <c r="E41" s="158"/>
      <c r="F41" s="158"/>
      <c r="G41" s="158"/>
      <c r="H41" s="158"/>
      <c r="I41" s="158"/>
      <c r="J41" s="158"/>
      <c r="K41" s="158"/>
      <c r="U41" s="21"/>
    </row>
    <row r="42" spans="2:26" x14ac:dyDescent="0.2">
      <c r="B42" s="158"/>
      <c r="C42" s="158"/>
      <c r="D42" s="158"/>
      <c r="E42" s="158"/>
      <c r="F42" s="158"/>
      <c r="G42" s="158"/>
      <c r="H42" s="158"/>
      <c r="I42" s="158"/>
      <c r="J42" s="158"/>
      <c r="K42" s="158"/>
      <c r="T42" s="213"/>
      <c r="U42" s="21" t="s">
        <v>127</v>
      </c>
    </row>
    <row r="43" spans="2:26" ht="15" customHeight="1" x14ac:dyDescent="0.2"/>
    <row r="44" spans="2:26" ht="27" customHeight="1" x14ac:dyDescent="0.2">
      <c r="N44" s="155" t="s">
        <v>132</v>
      </c>
      <c r="O44" s="155"/>
      <c r="P44" s="155"/>
      <c r="Q44" s="155"/>
      <c r="R44" s="155"/>
      <c r="S44" s="155"/>
      <c r="T44" s="155"/>
      <c r="U44" s="155"/>
      <c r="V44" s="155"/>
      <c r="W44" s="155"/>
      <c r="X44" s="155"/>
      <c r="Y44" s="155"/>
      <c r="Z44" s="155"/>
    </row>
    <row r="45" spans="2:26" x14ac:dyDescent="0.2">
      <c r="N45" s="26"/>
      <c r="O45" s="26"/>
      <c r="P45" s="26"/>
      <c r="Q45" s="26"/>
      <c r="R45" s="26"/>
      <c r="S45" s="26"/>
      <c r="T45" s="26"/>
      <c r="U45" s="26"/>
      <c r="V45" s="26"/>
      <c r="W45" s="26"/>
      <c r="X45" s="26"/>
      <c r="Y45" s="26"/>
      <c r="Z45" s="26"/>
    </row>
    <row r="46" spans="2:26" ht="39.6" customHeight="1" x14ac:dyDescent="0.2">
      <c r="B46" s="157" t="s">
        <v>74</v>
      </c>
      <c r="C46" s="157"/>
      <c r="D46" s="157"/>
      <c r="E46" s="157"/>
      <c r="F46" s="157"/>
      <c r="G46" s="157"/>
      <c r="H46" s="157"/>
      <c r="I46" s="157"/>
      <c r="J46" s="157"/>
      <c r="K46" s="157"/>
      <c r="N46" s="160" t="str">
        <f ca="1">CONCATENATE("Diese Prüfungsliste ist nach der Prüfung ausgefüllt - ggf. mit den Pässen, bis spätestens zwei Wochen nach dem Prüfungstermin (d.h. bis zum ", TEXT(DATE(YEAR(PTag),MONTH(PTag),DAY(PTag)+14),"T.M.JJ"), ") zurückzusenden.")</f>
        <v>Diese Prüfungsliste ist nach der Prüfung ausgefüllt - ggf. mit den Pässen, bis spätestens zwei Wochen nach dem Prüfungstermin (d.h. bis zum 1.2.26) zurückzusenden.</v>
      </c>
      <c r="O46" s="160"/>
      <c r="P46" s="160"/>
      <c r="Q46" s="160"/>
      <c r="R46" s="160"/>
      <c r="S46" s="160"/>
      <c r="T46" s="160"/>
      <c r="U46" s="160"/>
      <c r="V46" s="160"/>
      <c r="W46" s="160"/>
      <c r="X46" s="160"/>
      <c r="Y46" s="160"/>
      <c r="Z46" s="160"/>
    </row>
  </sheetData>
  <sheetProtection sheet="1"/>
  <mergeCells count="18">
    <mergeCell ref="B46:K46"/>
    <mergeCell ref="B32:K42"/>
    <mergeCell ref="P14:Q14"/>
    <mergeCell ref="R34:S34"/>
    <mergeCell ref="B23:K28"/>
    <mergeCell ref="S25:W25"/>
    <mergeCell ref="N46:Z46"/>
    <mergeCell ref="N44:Z44"/>
    <mergeCell ref="N1:Z1"/>
    <mergeCell ref="N3:Z3"/>
    <mergeCell ref="N5:Z5"/>
    <mergeCell ref="N36:Z36"/>
    <mergeCell ref="S27:W27"/>
    <mergeCell ref="V34:Z34"/>
    <mergeCell ref="N4:Z4"/>
    <mergeCell ref="S16:Z16"/>
    <mergeCell ref="S18:Z18"/>
    <mergeCell ref="S23:W23"/>
  </mergeCells>
  <phoneticPr fontId="3" type="noConversion"/>
  <pageMargins left="0.59055118110236227" right="0.59055118110236227" top="0.39370078740157483" bottom="0.39370078740157483" header="0.51181102362204722" footer="0.51181102362204722"/>
  <pageSetup paperSize="9" scale="78" orientation="landscape"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AL29"/>
  <sheetViews>
    <sheetView zoomScaleNormal="100" workbookViewId="0">
      <pane xSplit="2" ySplit="3" topLeftCell="C4" activePane="bottomRight" state="frozen"/>
      <selection pane="topRight" activeCell="C1" sqref="C1"/>
      <selection pane="bottomLeft" activeCell="A4" sqref="A4"/>
      <selection pane="bottomRight" activeCell="B4" sqref="B4"/>
    </sheetView>
  </sheetViews>
  <sheetFormatPr baseColWidth="10" defaultColWidth="11.5703125" defaultRowHeight="12.75" x14ac:dyDescent="0.2"/>
  <cols>
    <col min="1" max="1" width="2.7109375" style="15" customWidth="1"/>
    <col min="2" max="2" width="17.28515625" style="15" customWidth="1"/>
    <col min="3" max="3" width="12.85546875" style="15" customWidth="1"/>
    <col min="4" max="5" width="7.7109375" style="15" customWidth="1"/>
    <col min="6" max="7" width="6.140625" style="15" customWidth="1"/>
    <col min="8" max="33" width="2.85546875" style="15" customWidth="1"/>
    <col min="34" max="34" width="3.28515625" style="15" customWidth="1"/>
    <col min="35" max="35" width="2.85546875" style="15" customWidth="1"/>
    <col min="36" max="36" width="6.140625" style="15" customWidth="1"/>
    <col min="37" max="16384" width="11.5703125" style="15"/>
  </cols>
  <sheetData>
    <row r="1" spans="1:38" ht="14.25" customHeight="1" thickBot="1" x14ac:dyDescent="0.25">
      <c r="A1" s="136"/>
      <c r="B1" s="137" t="str">
        <f ca="1">CONCATENATE("Datum: ", TEXT(PTag,"T.M.JJ"))</f>
        <v>Datum: 18.1.26</v>
      </c>
      <c r="C1" s="170"/>
      <c r="D1" s="170"/>
      <c r="E1" s="170"/>
      <c r="F1" s="28"/>
      <c r="G1" s="28"/>
      <c r="H1" s="27"/>
      <c r="I1" s="27"/>
      <c r="J1" s="27"/>
      <c r="K1" s="27"/>
      <c r="L1" s="27"/>
      <c r="M1" s="138" t="s">
        <v>19</v>
      </c>
      <c r="N1" s="27"/>
      <c r="O1" s="27"/>
      <c r="P1" s="27"/>
      <c r="Q1" s="27"/>
      <c r="R1" s="27"/>
      <c r="S1" s="27"/>
      <c r="T1" s="27"/>
      <c r="U1" s="27"/>
      <c r="V1" s="27"/>
      <c r="W1" s="27"/>
      <c r="X1" s="139" t="s">
        <v>82</v>
      </c>
      <c r="Y1" s="27"/>
      <c r="Z1" s="27"/>
      <c r="AA1" s="182" t="str">
        <f>IF(Ausrichter&lt;&gt;"",Ausrichter,"")</f>
        <v/>
      </c>
      <c r="AB1" s="182"/>
      <c r="AC1" s="182"/>
      <c r="AD1" s="182"/>
      <c r="AE1" s="182"/>
      <c r="AF1" s="182"/>
      <c r="AG1" s="182"/>
      <c r="AH1" s="182"/>
      <c r="AI1" s="182"/>
      <c r="AJ1" s="183"/>
    </row>
    <row r="2" spans="1:38" ht="26.25" customHeight="1" x14ac:dyDescent="0.2">
      <c r="A2" s="171" t="s">
        <v>8</v>
      </c>
      <c r="B2" s="173" t="s">
        <v>9</v>
      </c>
      <c r="C2" s="173" t="s">
        <v>10</v>
      </c>
      <c r="D2" s="175" t="s">
        <v>11</v>
      </c>
      <c r="E2" s="165" t="s">
        <v>17</v>
      </c>
      <c r="F2" s="166"/>
      <c r="G2" s="177" t="s">
        <v>96</v>
      </c>
      <c r="H2" s="163" t="s">
        <v>0</v>
      </c>
      <c r="I2" s="163" t="s">
        <v>21</v>
      </c>
      <c r="J2" s="163" t="s">
        <v>22</v>
      </c>
      <c r="K2" s="163" t="s">
        <v>23</v>
      </c>
      <c r="L2" s="163" t="s">
        <v>37</v>
      </c>
      <c r="M2" s="163" t="s">
        <v>24</v>
      </c>
      <c r="N2" s="163" t="s">
        <v>25</v>
      </c>
      <c r="O2" s="163" t="s">
        <v>18</v>
      </c>
      <c r="P2" s="163" t="s">
        <v>141</v>
      </c>
      <c r="Q2" s="163" t="s">
        <v>1</v>
      </c>
      <c r="R2" s="163" t="s">
        <v>26</v>
      </c>
      <c r="S2" s="163" t="s">
        <v>27</v>
      </c>
      <c r="T2" s="163" t="s">
        <v>142</v>
      </c>
      <c r="U2" s="180" t="s">
        <v>20</v>
      </c>
      <c r="V2" s="163" t="s">
        <v>28</v>
      </c>
      <c r="W2" s="168" t="s">
        <v>16</v>
      </c>
      <c r="X2" s="179" t="s">
        <v>3</v>
      </c>
      <c r="Y2" s="163" t="s">
        <v>2</v>
      </c>
      <c r="Z2" s="163" t="s">
        <v>29</v>
      </c>
      <c r="AA2" s="185" t="s">
        <v>30</v>
      </c>
      <c r="AB2" s="179" t="s">
        <v>6</v>
      </c>
      <c r="AC2" s="185" t="s">
        <v>112</v>
      </c>
      <c r="AD2" s="179" t="s">
        <v>105</v>
      </c>
      <c r="AE2" s="163" t="s">
        <v>100</v>
      </c>
      <c r="AF2" s="163" t="s">
        <v>101</v>
      </c>
      <c r="AG2" s="163" t="s">
        <v>102</v>
      </c>
      <c r="AH2" s="163" t="s">
        <v>103</v>
      </c>
      <c r="AI2" s="185" t="s">
        <v>104</v>
      </c>
      <c r="AJ2" s="187" t="s">
        <v>7</v>
      </c>
    </row>
    <row r="3" spans="1:38" ht="87.75" customHeight="1" thickBot="1" x14ac:dyDescent="0.25">
      <c r="A3" s="172"/>
      <c r="B3" s="174"/>
      <c r="C3" s="174"/>
      <c r="D3" s="176"/>
      <c r="E3" s="29" t="s">
        <v>15</v>
      </c>
      <c r="F3" s="30" t="s">
        <v>12</v>
      </c>
      <c r="G3" s="178"/>
      <c r="H3" s="164"/>
      <c r="I3" s="164"/>
      <c r="J3" s="164"/>
      <c r="K3" s="164"/>
      <c r="L3" s="164"/>
      <c r="M3" s="164"/>
      <c r="N3" s="164"/>
      <c r="O3" s="164"/>
      <c r="P3" s="164"/>
      <c r="Q3" s="164"/>
      <c r="R3" s="164"/>
      <c r="S3" s="164"/>
      <c r="T3" s="164"/>
      <c r="U3" s="181"/>
      <c r="V3" s="164"/>
      <c r="W3" s="169"/>
      <c r="X3" s="172"/>
      <c r="Y3" s="184"/>
      <c r="Z3" s="184"/>
      <c r="AA3" s="186"/>
      <c r="AB3" s="172"/>
      <c r="AC3" s="186"/>
      <c r="AD3" s="172"/>
      <c r="AE3" s="184"/>
      <c r="AF3" s="184"/>
      <c r="AG3" s="184"/>
      <c r="AH3" s="184"/>
      <c r="AI3" s="186"/>
      <c r="AJ3" s="188"/>
    </row>
    <row r="4" spans="1:38" s="34" customFormat="1" ht="20.25" customHeight="1" x14ac:dyDescent="0.25">
      <c r="A4" s="31">
        <v>1</v>
      </c>
      <c r="B4" s="59"/>
      <c r="C4" s="60" t="str">
        <f t="shared" ref="C4:C21" si="0">IF(AND(B4&lt;&gt;"",Ausrichter&lt;&gt;""),Ausrichter,"")</f>
        <v/>
      </c>
      <c r="D4" s="61"/>
      <c r="E4" s="62"/>
      <c r="F4" s="63"/>
      <c r="G4" s="64" t="str">
        <f>ZE!B4</f>
        <v/>
      </c>
      <c r="H4" s="66"/>
      <c r="I4" s="67"/>
      <c r="J4" s="67"/>
      <c r="K4" s="67"/>
      <c r="L4" s="67"/>
      <c r="M4" s="67"/>
      <c r="N4" s="67"/>
      <c r="O4" s="66"/>
      <c r="P4" s="68"/>
      <c r="Q4" s="68"/>
      <c r="R4" s="68"/>
      <c r="S4" s="68"/>
      <c r="T4" s="66"/>
      <c r="U4" s="65"/>
      <c r="V4" s="66"/>
      <c r="W4" s="69"/>
      <c r="X4" s="70"/>
      <c r="Y4" s="71"/>
      <c r="Z4" s="71"/>
      <c r="AA4" s="72"/>
      <c r="AB4" s="73" t="str">
        <f t="shared" ref="AB4:AB15" si="1">IF(G4&lt;&gt;"",VLOOKUP(G4,nst,27,FALSE),"")</f>
        <v/>
      </c>
      <c r="AC4" s="95" t="str">
        <f>ZE!F4</f>
        <v/>
      </c>
      <c r="AD4" s="32" t="str">
        <f t="shared" ref="AD4:AD15" si="2">IF(AND(G4&lt;&gt;"",SUM(H4:W4)&gt;0),SUM(H4:W4),"")</f>
        <v/>
      </c>
      <c r="AE4" s="83"/>
      <c r="AF4" s="83"/>
      <c r="AG4" s="83"/>
      <c r="AH4" s="101" t="str">
        <f t="shared" ref="AH4:AH15" si="3">IF(G4&lt;&gt;"",IF(VLOOKUP($G4,nst,26,FALSE)=COUNT(H4:W4),IF(AB4=1,AD4,IF(AND(AB4=2,AE4&lt;&gt;""),AE4+AD4,"")),""),"")</f>
        <v/>
      </c>
      <c r="AI4" s="86" t="str">
        <f>IF(ZE!H4,IF(ZE!J4,"B","NB"),"")</f>
        <v/>
      </c>
      <c r="AJ4" s="33" t="str">
        <f t="shared" ref="AJ4:AJ15" si="4">IF(AI4&lt;&gt;"",IF(AI4="B",G4,"----"),"")</f>
        <v/>
      </c>
      <c r="AK4" s="15"/>
      <c r="AL4" s="15"/>
    </row>
    <row r="5" spans="1:38" s="34" customFormat="1" ht="20.25" customHeight="1" x14ac:dyDescent="0.25">
      <c r="A5" s="35">
        <v>2</v>
      </c>
      <c r="B5" s="59"/>
      <c r="C5" s="60" t="str">
        <f>IF(AND(B5&lt;&gt;"",Ausrichter&lt;&gt;""),Ausrichter,"")</f>
        <v/>
      </c>
      <c r="D5" s="61"/>
      <c r="E5" s="62"/>
      <c r="F5" s="63"/>
      <c r="G5" s="64" t="str">
        <f>ZE!B5</f>
        <v/>
      </c>
      <c r="H5" s="75"/>
      <c r="I5" s="76"/>
      <c r="J5" s="76"/>
      <c r="K5" s="76"/>
      <c r="L5" s="76"/>
      <c r="M5" s="76"/>
      <c r="N5" s="76"/>
      <c r="O5" s="75"/>
      <c r="P5" s="77"/>
      <c r="Q5" s="77"/>
      <c r="R5" s="77"/>
      <c r="S5" s="77"/>
      <c r="T5" s="75"/>
      <c r="U5" s="74"/>
      <c r="V5" s="77"/>
      <c r="W5" s="78"/>
      <c r="X5" s="79"/>
      <c r="Y5" s="80"/>
      <c r="Z5" s="80"/>
      <c r="AA5" s="81"/>
      <c r="AB5" s="73" t="str">
        <f t="shared" si="1"/>
        <v/>
      </c>
      <c r="AC5" s="96" t="str">
        <f>ZE!F5</f>
        <v/>
      </c>
      <c r="AD5" s="36" t="str">
        <f t="shared" si="2"/>
        <v/>
      </c>
      <c r="AE5" s="84"/>
      <c r="AF5" s="84"/>
      <c r="AG5" s="84"/>
      <c r="AH5" s="101" t="str">
        <f t="shared" si="3"/>
        <v/>
      </c>
      <c r="AI5" s="87" t="str">
        <f>IF(ZE!H5,IF(ZE!J5,"B","NB"),"")</f>
        <v/>
      </c>
      <c r="AJ5" s="37" t="str">
        <f t="shared" si="4"/>
        <v/>
      </c>
      <c r="AK5" s="15"/>
      <c r="AL5" s="15"/>
    </row>
    <row r="6" spans="1:38" s="34" customFormat="1" ht="20.25" customHeight="1" x14ac:dyDescent="0.25">
      <c r="A6" s="35">
        <v>3</v>
      </c>
      <c r="B6" s="59"/>
      <c r="C6" s="60" t="str">
        <f>IF(AND(B6&lt;&gt;"",Ausrichter&lt;&gt;""),Ausrichter,"")</f>
        <v/>
      </c>
      <c r="D6" s="61"/>
      <c r="E6" s="62"/>
      <c r="F6" s="63"/>
      <c r="G6" s="64" t="str">
        <f>ZE!B6</f>
        <v/>
      </c>
      <c r="H6" s="75"/>
      <c r="I6" s="82"/>
      <c r="J6" s="76"/>
      <c r="K6" s="76"/>
      <c r="L6" s="76"/>
      <c r="M6" s="76"/>
      <c r="N6" s="76"/>
      <c r="O6" s="75"/>
      <c r="P6" s="77"/>
      <c r="Q6" s="77"/>
      <c r="R6" s="77"/>
      <c r="S6" s="77"/>
      <c r="T6" s="75"/>
      <c r="U6" s="74"/>
      <c r="V6" s="77"/>
      <c r="W6" s="78"/>
      <c r="X6" s="79"/>
      <c r="Y6" s="80"/>
      <c r="Z6" s="80"/>
      <c r="AA6" s="81"/>
      <c r="AB6" s="73" t="str">
        <f t="shared" si="1"/>
        <v/>
      </c>
      <c r="AC6" s="96" t="str">
        <f>ZE!F6</f>
        <v/>
      </c>
      <c r="AD6" s="36" t="str">
        <f t="shared" si="2"/>
        <v/>
      </c>
      <c r="AE6" s="84"/>
      <c r="AF6" s="84"/>
      <c r="AG6" s="84"/>
      <c r="AH6" s="101" t="str">
        <f t="shared" si="3"/>
        <v/>
      </c>
      <c r="AI6" s="87" t="str">
        <f>IF(ZE!H6,IF(ZE!J6,"B","NB"),"")</f>
        <v/>
      </c>
      <c r="AJ6" s="37" t="str">
        <f t="shared" si="4"/>
        <v/>
      </c>
      <c r="AK6" s="15"/>
      <c r="AL6" s="15"/>
    </row>
    <row r="7" spans="1:38" s="34" customFormat="1" ht="20.25" customHeight="1" x14ac:dyDescent="0.25">
      <c r="A7" s="35">
        <v>4</v>
      </c>
      <c r="B7" s="59"/>
      <c r="C7" s="60" t="str">
        <f>IF(AND(B7&lt;&gt;"",Ausrichter&lt;&gt;""),Ausrichter,"")</f>
        <v/>
      </c>
      <c r="D7" s="61"/>
      <c r="E7" s="62"/>
      <c r="F7" s="63"/>
      <c r="G7" s="64" t="str">
        <f>ZE!B7</f>
        <v/>
      </c>
      <c r="H7" s="75"/>
      <c r="I7" s="76"/>
      <c r="J7" s="76"/>
      <c r="K7" s="76"/>
      <c r="L7" s="76"/>
      <c r="M7" s="76"/>
      <c r="N7" s="76"/>
      <c r="O7" s="75"/>
      <c r="P7" s="77"/>
      <c r="Q7" s="77"/>
      <c r="R7" s="75"/>
      <c r="S7" s="75"/>
      <c r="T7" s="75"/>
      <c r="U7" s="74"/>
      <c r="V7" s="77"/>
      <c r="W7" s="78"/>
      <c r="X7" s="79"/>
      <c r="Y7" s="80"/>
      <c r="Z7" s="80"/>
      <c r="AA7" s="81"/>
      <c r="AB7" s="73" t="str">
        <f t="shared" si="1"/>
        <v/>
      </c>
      <c r="AC7" s="97" t="str">
        <f>ZE!F7</f>
        <v/>
      </c>
      <c r="AD7" s="38" t="str">
        <f t="shared" si="2"/>
        <v/>
      </c>
      <c r="AE7" s="85"/>
      <c r="AF7" s="85"/>
      <c r="AG7" s="85"/>
      <c r="AH7" s="101" t="str">
        <f t="shared" si="3"/>
        <v/>
      </c>
      <c r="AI7" s="88" t="str">
        <f>IF(ZE!H7,IF(ZE!J7,"B","NB"),"")</f>
        <v/>
      </c>
      <c r="AJ7" s="37" t="str">
        <f t="shared" si="4"/>
        <v/>
      </c>
      <c r="AK7" s="15"/>
      <c r="AL7" s="15"/>
    </row>
    <row r="8" spans="1:38" s="34" customFormat="1" ht="20.25" customHeight="1" x14ac:dyDescent="0.25">
      <c r="A8" s="35">
        <v>5</v>
      </c>
      <c r="B8" s="59"/>
      <c r="C8" s="60" t="str">
        <f>IF(AND(B8&lt;&gt;"",Ausrichter&lt;&gt;""),Ausrichter,"")</f>
        <v/>
      </c>
      <c r="D8" s="61"/>
      <c r="E8" s="62"/>
      <c r="F8" s="63"/>
      <c r="G8" s="64" t="str">
        <f>ZE!B8</f>
        <v/>
      </c>
      <c r="H8" s="75"/>
      <c r="I8" s="76"/>
      <c r="J8" s="76"/>
      <c r="K8" s="76"/>
      <c r="L8" s="76"/>
      <c r="M8" s="76"/>
      <c r="N8" s="76"/>
      <c r="O8" s="75"/>
      <c r="P8" s="77"/>
      <c r="Q8" s="77"/>
      <c r="R8" s="75"/>
      <c r="S8" s="75"/>
      <c r="T8" s="75"/>
      <c r="U8" s="74"/>
      <c r="V8" s="77"/>
      <c r="W8" s="78"/>
      <c r="X8" s="79"/>
      <c r="Y8" s="80"/>
      <c r="Z8" s="80"/>
      <c r="AA8" s="81"/>
      <c r="AB8" s="73" t="str">
        <f t="shared" si="1"/>
        <v/>
      </c>
      <c r="AC8" s="97" t="str">
        <f>ZE!F8</f>
        <v/>
      </c>
      <c r="AD8" s="38" t="str">
        <f t="shared" si="2"/>
        <v/>
      </c>
      <c r="AE8" s="85"/>
      <c r="AF8" s="85"/>
      <c r="AG8" s="85"/>
      <c r="AH8" s="101" t="str">
        <f t="shared" si="3"/>
        <v/>
      </c>
      <c r="AI8" s="88" t="str">
        <f>IF(ZE!H8,IF(ZE!J8,"B","NB"),"")</f>
        <v/>
      </c>
      <c r="AJ8" s="37" t="str">
        <f t="shared" si="4"/>
        <v/>
      </c>
      <c r="AK8" s="15"/>
      <c r="AL8" s="15"/>
    </row>
    <row r="9" spans="1:38" s="34" customFormat="1" ht="20.25" customHeight="1" x14ac:dyDescent="0.25">
      <c r="A9" s="35">
        <v>6</v>
      </c>
      <c r="B9" s="59"/>
      <c r="C9" s="60" t="str">
        <f>IF(AND(B9&lt;&gt;"",Ausrichter&lt;&gt;""),Ausrichter,"")</f>
        <v/>
      </c>
      <c r="D9" s="61"/>
      <c r="E9" s="62"/>
      <c r="F9" s="63"/>
      <c r="G9" s="64" t="str">
        <f>ZE!B9</f>
        <v/>
      </c>
      <c r="H9" s="75"/>
      <c r="I9" s="76"/>
      <c r="J9" s="76"/>
      <c r="K9" s="76"/>
      <c r="L9" s="76"/>
      <c r="M9" s="76"/>
      <c r="N9" s="76"/>
      <c r="O9" s="75"/>
      <c r="P9" s="77"/>
      <c r="Q9" s="77"/>
      <c r="R9" s="75"/>
      <c r="S9" s="75"/>
      <c r="T9" s="75"/>
      <c r="U9" s="74"/>
      <c r="V9" s="77"/>
      <c r="W9" s="78"/>
      <c r="X9" s="79"/>
      <c r="Y9" s="80"/>
      <c r="Z9" s="80"/>
      <c r="AA9" s="81"/>
      <c r="AB9" s="73" t="str">
        <f t="shared" si="1"/>
        <v/>
      </c>
      <c r="AC9" s="97" t="str">
        <f>ZE!F9</f>
        <v/>
      </c>
      <c r="AD9" s="38" t="str">
        <f t="shared" si="2"/>
        <v/>
      </c>
      <c r="AE9" s="85"/>
      <c r="AF9" s="85"/>
      <c r="AG9" s="85"/>
      <c r="AH9" s="101" t="str">
        <f t="shared" si="3"/>
        <v/>
      </c>
      <c r="AI9" s="88" t="str">
        <f>IF(ZE!H9,IF(ZE!J9,"B","NB"),"")</f>
        <v/>
      </c>
      <c r="AJ9" s="37" t="str">
        <f t="shared" si="4"/>
        <v/>
      </c>
      <c r="AK9" s="15"/>
      <c r="AL9" s="15"/>
    </row>
    <row r="10" spans="1:38" s="40" customFormat="1" ht="20.25" customHeight="1" x14ac:dyDescent="0.25">
      <c r="A10" s="35">
        <v>7</v>
      </c>
      <c r="B10" s="59"/>
      <c r="C10" s="60" t="str">
        <f t="shared" si="0"/>
        <v/>
      </c>
      <c r="D10" s="61"/>
      <c r="E10" s="62"/>
      <c r="F10" s="63"/>
      <c r="G10" s="64" t="str">
        <f>ZE!B10</f>
        <v/>
      </c>
      <c r="H10" s="75"/>
      <c r="I10" s="76"/>
      <c r="J10" s="76"/>
      <c r="K10" s="76"/>
      <c r="L10" s="76"/>
      <c r="M10" s="76"/>
      <c r="N10" s="76"/>
      <c r="O10" s="75"/>
      <c r="P10" s="77"/>
      <c r="Q10" s="75"/>
      <c r="R10" s="75"/>
      <c r="S10" s="75"/>
      <c r="T10" s="75"/>
      <c r="U10" s="74"/>
      <c r="V10" s="77"/>
      <c r="W10" s="78"/>
      <c r="X10" s="79"/>
      <c r="Y10" s="80"/>
      <c r="Z10" s="80"/>
      <c r="AA10" s="81"/>
      <c r="AB10" s="73" t="str">
        <f t="shared" si="1"/>
        <v/>
      </c>
      <c r="AC10" s="97" t="str">
        <f>ZE!F10</f>
        <v/>
      </c>
      <c r="AD10" s="38" t="str">
        <f t="shared" si="2"/>
        <v/>
      </c>
      <c r="AE10" s="85"/>
      <c r="AF10" s="85"/>
      <c r="AG10" s="85"/>
      <c r="AH10" s="101" t="str">
        <f t="shared" si="3"/>
        <v/>
      </c>
      <c r="AI10" s="88" t="str">
        <f>IF(ZE!H10,IF(ZE!J10,"B","NB"),"")</f>
        <v/>
      </c>
      <c r="AJ10" s="37" t="str">
        <f t="shared" si="4"/>
        <v/>
      </c>
      <c r="AK10" s="39"/>
      <c r="AL10" s="39"/>
    </row>
    <row r="11" spans="1:38" s="40" customFormat="1" ht="20.25" customHeight="1" x14ac:dyDescent="0.25">
      <c r="A11" s="35">
        <v>8</v>
      </c>
      <c r="B11" s="59"/>
      <c r="C11" s="60" t="str">
        <f t="shared" si="0"/>
        <v/>
      </c>
      <c r="D11" s="61"/>
      <c r="E11" s="62"/>
      <c r="F11" s="63"/>
      <c r="G11" s="64" t="str">
        <f>ZE!B11</f>
        <v/>
      </c>
      <c r="H11" s="75"/>
      <c r="I11" s="76"/>
      <c r="J11" s="76"/>
      <c r="K11" s="76"/>
      <c r="L11" s="76"/>
      <c r="M11" s="76"/>
      <c r="N11" s="76"/>
      <c r="O11" s="75"/>
      <c r="P11" s="77"/>
      <c r="Q11" s="75"/>
      <c r="R11" s="75"/>
      <c r="S11" s="75"/>
      <c r="T11" s="75"/>
      <c r="U11" s="74"/>
      <c r="V11" s="77"/>
      <c r="W11" s="78"/>
      <c r="X11" s="79"/>
      <c r="Y11" s="80"/>
      <c r="Z11" s="80"/>
      <c r="AA11" s="81"/>
      <c r="AB11" s="73" t="str">
        <f t="shared" si="1"/>
        <v/>
      </c>
      <c r="AC11" s="97" t="str">
        <f>ZE!F11</f>
        <v/>
      </c>
      <c r="AD11" s="38" t="str">
        <f t="shared" si="2"/>
        <v/>
      </c>
      <c r="AE11" s="85"/>
      <c r="AF11" s="85"/>
      <c r="AG11" s="85"/>
      <c r="AH11" s="101" t="str">
        <f t="shared" si="3"/>
        <v/>
      </c>
      <c r="AI11" s="88" t="str">
        <f>IF(ZE!H11,IF(ZE!J11,"B","NB"),"")</f>
        <v/>
      </c>
      <c r="AJ11" s="37" t="str">
        <f t="shared" si="4"/>
        <v/>
      </c>
      <c r="AK11" s="39"/>
      <c r="AL11" s="39"/>
    </row>
    <row r="12" spans="1:38" s="40" customFormat="1" ht="20.25" customHeight="1" x14ac:dyDescent="0.25">
      <c r="A12" s="35">
        <v>9</v>
      </c>
      <c r="B12" s="59"/>
      <c r="C12" s="60" t="str">
        <f t="shared" si="0"/>
        <v/>
      </c>
      <c r="D12" s="61"/>
      <c r="E12" s="62"/>
      <c r="F12" s="63"/>
      <c r="G12" s="64" t="str">
        <f>ZE!B12</f>
        <v/>
      </c>
      <c r="H12" s="75"/>
      <c r="I12" s="76"/>
      <c r="J12" s="76"/>
      <c r="K12" s="76"/>
      <c r="L12" s="76"/>
      <c r="M12" s="76"/>
      <c r="N12" s="76"/>
      <c r="O12" s="75"/>
      <c r="P12" s="77"/>
      <c r="Q12" s="75"/>
      <c r="R12" s="75"/>
      <c r="S12" s="75"/>
      <c r="T12" s="75"/>
      <c r="U12" s="74"/>
      <c r="V12" s="75"/>
      <c r="W12" s="78"/>
      <c r="X12" s="79"/>
      <c r="Y12" s="80"/>
      <c r="Z12" s="80"/>
      <c r="AA12" s="81"/>
      <c r="AB12" s="73" t="str">
        <f t="shared" si="1"/>
        <v/>
      </c>
      <c r="AC12" s="97" t="str">
        <f>ZE!F12</f>
        <v/>
      </c>
      <c r="AD12" s="38" t="str">
        <f t="shared" si="2"/>
        <v/>
      </c>
      <c r="AE12" s="85"/>
      <c r="AF12" s="85"/>
      <c r="AG12" s="85"/>
      <c r="AH12" s="101" t="str">
        <f t="shared" si="3"/>
        <v/>
      </c>
      <c r="AI12" s="88" t="str">
        <f>IF(ZE!H12,IF(ZE!J12,"B","NB"),"")</f>
        <v/>
      </c>
      <c r="AJ12" s="37" t="str">
        <f t="shared" si="4"/>
        <v/>
      </c>
      <c r="AK12" s="39"/>
      <c r="AL12" s="39"/>
    </row>
    <row r="13" spans="1:38" s="40" customFormat="1" ht="20.25" customHeight="1" x14ac:dyDescent="0.25">
      <c r="A13" s="35">
        <v>10</v>
      </c>
      <c r="B13" s="59"/>
      <c r="C13" s="60" t="str">
        <f t="shared" si="0"/>
        <v/>
      </c>
      <c r="D13" s="61"/>
      <c r="E13" s="62"/>
      <c r="F13" s="63"/>
      <c r="G13" s="64" t="str">
        <f>ZE!B13</f>
        <v/>
      </c>
      <c r="H13" s="75"/>
      <c r="I13" s="76"/>
      <c r="J13" s="76"/>
      <c r="K13" s="76"/>
      <c r="L13" s="76"/>
      <c r="M13" s="76"/>
      <c r="N13" s="76"/>
      <c r="O13" s="75"/>
      <c r="P13" s="75"/>
      <c r="Q13" s="75"/>
      <c r="R13" s="75"/>
      <c r="S13" s="75"/>
      <c r="T13" s="75"/>
      <c r="U13" s="74"/>
      <c r="V13" s="75"/>
      <c r="W13" s="78"/>
      <c r="X13" s="79"/>
      <c r="Y13" s="80"/>
      <c r="Z13" s="80"/>
      <c r="AA13" s="81"/>
      <c r="AB13" s="73" t="str">
        <f t="shared" si="1"/>
        <v/>
      </c>
      <c r="AC13" s="97" t="str">
        <f>ZE!F13</f>
        <v/>
      </c>
      <c r="AD13" s="38" t="str">
        <f t="shared" si="2"/>
        <v/>
      </c>
      <c r="AE13" s="85"/>
      <c r="AF13" s="85"/>
      <c r="AG13" s="85"/>
      <c r="AH13" s="101" t="str">
        <f t="shared" si="3"/>
        <v/>
      </c>
      <c r="AI13" s="88" t="str">
        <f>IF(ZE!H13,IF(ZE!J13,"B","NB"),"")</f>
        <v/>
      </c>
      <c r="AJ13" s="37" t="str">
        <f t="shared" si="4"/>
        <v/>
      </c>
      <c r="AK13" s="39"/>
      <c r="AL13" s="39"/>
    </row>
    <row r="14" spans="1:38" s="40" customFormat="1" ht="20.25" customHeight="1" x14ac:dyDescent="0.25">
      <c r="A14" s="35">
        <v>11</v>
      </c>
      <c r="B14" s="59"/>
      <c r="C14" s="60" t="str">
        <f t="shared" si="0"/>
        <v/>
      </c>
      <c r="D14" s="61"/>
      <c r="E14" s="62"/>
      <c r="F14" s="63"/>
      <c r="G14" s="64" t="str">
        <f>ZE!B14</f>
        <v/>
      </c>
      <c r="H14" s="75"/>
      <c r="I14" s="76"/>
      <c r="J14" s="76"/>
      <c r="K14" s="76"/>
      <c r="L14" s="76"/>
      <c r="M14" s="76"/>
      <c r="N14" s="76"/>
      <c r="O14" s="75"/>
      <c r="P14" s="75"/>
      <c r="Q14" s="75"/>
      <c r="R14" s="75"/>
      <c r="S14" s="75"/>
      <c r="T14" s="75"/>
      <c r="U14" s="74"/>
      <c r="V14" s="75"/>
      <c r="W14" s="78"/>
      <c r="X14" s="79"/>
      <c r="Y14" s="80"/>
      <c r="Z14" s="80"/>
      <c r="AA14" s="81"/>
      <c r="AB14" s="73" t="str">
        <f t="shared" si="1"/>
        <v/>
      </c>
      <c r="AC14" s="97" t="str">
        <f>ZE!F14</f>
        <v/>
      </c>
      <c r="AD14" s="38" t="str">
        <f t="shared" si="2"/>
        <v/>
      </c>
      <c r="AE14" s="85"/>
      <c r="AF14" s="85"/>
      <c r="AG14" s="85"/>
      <c r="AH14" s="101" t="str">
        <f t="shared" si="3"/>
        <v/>
      </c>
      <c r="AI14" s="88" t="str">
        <f>IF(ZE!H14,IF(ZE!J14,"B","NB"),"")</f>
        <v/>
      </c>
      <c r="AJ14" s="37" t="str">
        <f t="shared" si="4"/>
        <v/>
      </c>
      <c r="AK14" s="39"/>
      <c r="AL14" s="39"/>
    </row>
    <row r="15" spans="1:38" s="40" customFormat="1" ht="20.25" customHeight="1" x14ac:dyDescent="0.25">
      <c r="A15" s="35">
        <v>12</v>
      </c>
      <c r="B15" s="59"/>
      <c r="C15" s="60" t="str">
        <f t="shared" si="0"/>
        <v/>
      </c>
      <c r="D15" s="61"/>
      <c r="E15" s="62"/>
      <c r="F15" s="63"/>
      <c r="G15" s="64" t="str">
        <f>ZE!B15</f>
        <v/>
      </c>
      <c r="H15" s="75"/>
      <c r="I15" s="76"/>
      <c r="J15" s="76"/>
      <c r="K15" s="76"/>
      <c r="L15" s="76"/>
      <c r="M15" s="76"/>
      <c r="N15" s="76"/>
      <c r="O15" s="75"/>
      <c r="P15" s="75"/>
      <c r="Q15" s="75"/>
      <c r="R15" s="75"/>
      <c r="S15" s="75"/>
      <c r="T15" s="75"/>
      <c r="U15" s="74"/>
      <c r="V15" s="75"/>
      <c r="W15" s="78"/>
      <c r="X15" s="79"/>
      <c r="Y15" s="80"/>
      <c r="Z15" s="80"/>
      <c r="AA15" s="81"/>
      <c r="AB15" s="73" t="str">
        <f t="shared" si="1"/>
        <v/>
      </c>
      <c r="AC15" s="97" t="str">
        <f>ZE!F15</f>
        <v/>
      </c>
      <c r="AD15" s="38" t="str">
        <f t="shared" si="2"/>
        <v/>
      </c>
      <c r="AE15" s="85"/>
      <c r="AF15" s="85"/>
      <c r="AG15" s="85"/>
      <c r="AH15" s="101" t="str">
        <f t="shared" si="3"/>
        <v/>
      </c>
      <c r="AI15" s="88" t="str">
        <f>IF(ZE!H15,IF(ZE!J15,"B","NB"),"")</f>
        <v/>
      </c>
      <c r="AJ15" s="37" t="str">
        <f t="shared" si="4"/>
        <v/>
      </c>
      <c r="AK15" s="39"/>
      <c r="AL15" s="39"/>
    </row>
    <row r="16" spans="1:38" s="40" customFormat="1" ht="20.25" customHeight="1" x14ac:dyDescent="0.25">
      <c r="A16" s="35">
        <v>13</v>
      </c>
      <c r="B16" s="59"/>
      <c r="C16" s="60" t="str">
        <f t="shared" si="0"/>
        <v/>
      </c>
      <c r="D16" s="61"/>
      <c r="E16" s="62"/>
      <c r="F16" s="63"/>
      <c r="G16" s="64" t="str">
        <f>ZE!B16</f>
        <v/>
      </c>
      <c r="H16" s="75"/>
      <c r="I16" s="76"/>
      <c r="J16" s="76"/>
      <c r="K16" s="76"/>
      <c r="L16" s="76"/>
      <c r="M16" s="76"/>
      <c r="N16" s="76"/>
      <c r="O16" s="75"/>
      <c r="P16" s="75"/>
      <c r="Q16" s="75"/>
      <c r="R16" s="75"/>
      <c r="S16" s="75"/>
      <c r="T16" s="75"/>
      <c r="U16" s="74"/>
      <c r="V16" s="75"/>
      <c r="W16" s="78"/>
      <c r="X16" s="79"/>
      <c r="Y16" s="80"/>
      <c r="Z16" s="80"/>
      <c r="AA16" s="81"/>
      <c r="AB16" s="73" t="str">
        <f t="shared" ref="AB16:AB23" si="5">IF(G16&lt;&gt;"",VLOOKUP(G16,nst,27,FALSE),"")</f>
        <v/>
      </c>
      <c r="AC16" s="97" t="str">
        <f>ZE!F16</f>
        <v/>
      </c>
      <c r="AD16" s="38" t="str">
        <f t="shared" ref="AD16:AD23" si="6">IF(AND(G16&lt;&gt;"",SUM(H16:W16)&gt;0),SUM(H16:W16),"")</f>
        <v/>
      </c>
      <c r="AE16" s="85"/>
      <c r="AF16" s="85"/>
      <c r="AG16" s="85"/>
      <c r="AH16" s="101" t="str">
        <f t="shared" ref="AH16:AH23" si="7">IF(G16&lt;&gt;"",IF(VLOOKUP($G16,nst,26,FALSE)=COUNT(H16:W16),IF(AB16=1,AD16,IF(AND(AB16=2,AE16&lt;&gt;""),AE16+AD16,"")),""),"")</f>
        <v/>
      </c>
      <c r="AI16" s="88" t="str">
        <f>IF(ZE!H16,IF(ZE!J16,"B","NB"),"")</f>
        <v/>
      </c>
      <c r="AJ16" s="37" t="str">
        <f t="shared" ref="AJ16:AJ23" si="8">IF(AI16&lt;&gt;"",IF(AI16="B",G16,"----"),"")</f>
        <v/>
      </c>
      <c r="AK16" s="39"/>
      <c r="AL16" s="39"/>
    </row>
    <row r="17" spans="1:38" s="40" customFormat="1" ht="20.25" customHeight="1" x14ac:dyDescent="0.25">
      <c r="A17" s="35">
        <v>14</v>
      </c>
      <c r="B17" s="59"/>
      <c r="C17" s="60" t="str">
        <f t="shared" si="0"/>
        <v/>
      </c>
      <c r="D17" s="61"/>
      <c r="E17" s="62"/>
      <c r="F17" s="63"/>
      <c r="G17" s="64" t="str">
        <f>ZE!B17</f>
        <v/>
      </c>
      <c r="H17" s="75"/>
      <c r="I17" s="76"/>
      <c r="J17" s="76"/>
      <c r="K17" s="76"/>
      <c r="L17" s="76"/>
      <c r="M17" s="76"/>
      <c r="N17" s="76"/>
      <c r="O17" s="75"/>
      <c r="P17" s="75"/>
      <c r="Q17" s="75"/>
      <c r="R17" s="75"/>
      <c r="S17" s="75"/>
      <c r="T17" s="75"/>
      <c r="U17" s="74"/>
      <c r="V17" s="75"/>
      <c r="W17" s="78"/>
      <c r="X17" s="79"/>
      <c r="Y17" s="80"/>
      <c r="Z17" s="80"/>
      <c r="AA17" s="81"/>
      <c r="AB17" s="73" t="str">
        <f t="shared" si="5"/>
        <v/>
      </c>
      <c r="AC17" s="97" t="str">
        <f>ZE!F17</f>
        <v/>
      </c>
      <c r="AD17" s="38" t="str">
        <f t="shared" si="6"/>
        <v/>
      </c>
      <c r="AE17" s="85"/>
      <c r="AF17" s="85"/>
      <c r="AG17" s="85"/>
      <c r="AH17" s="101" t="str">
        <f t="shared" si="7"/>
        <v/>
      </c>
      <c r="AI17" s="88" t="str">
        <f>IF(ZE!H17,IF(ZE!J17,"B","NB"),"")</f>
        <v/>
      </c>
      <c r="AJ17" s="37" t="str">
        <f t="shared" si="8"/>
        <v/>
      </c>
      <c r="AK17" s="39"/>
      <c r="AL17" s="39"/>
    </row>
    <row r="18" spans="1:38" s="40" customFormat="1" ht="20.25" customHeight="1" x14ac:dyDescent="0.25">
      <c r="A18" s="35">
        <v>15</v>
      </c>
      <c r="B18" s="59"/>
      <c r="C18" s="60" t="str">
        <f t="shared" si="0"/>
        <v/>
      </c>
      <c r="D18" s="61"/>
      <c r="E18" s="62"/>
      <c r="F18" s="63"/>
      <c r="G18" s="64" t="str">
        <f>ZE!B18</f>
        <v/>
      </c>
      <c r="H18" s="75"/>
      <c r="I18" s="76"/>
      <c r="J18" s="76"/>
      <c r="K18" s="76"/>
      <c r="L18" s="76"/>
      <c r="M18" s="76"/>
      <c r="N18" s="76"/>
      <c r="O18" s="75"/>
      <c r="P18" s="75"/>
      <c r="Q18" s="75"/>
      <c r="R18" s="75"/>
      <c r="S18" s="75"/>
      <c r="T18" s="75"/>
      <c r="U18" s="74"/>
      <c r="V18" s="75"/>
      <c r="W18" s="78"/>
      <c r="X18" s="79"/>
      <c r="Y18" s="80"/>
      <c r="Z18" s="80"/>
      <c r="AA18" s="81"/>
      <c r="AB18" s="73" t="str">
        <f t="shared" si="5"/>
        <v/>
      </c>
      <c r="AC18" s="97" t="str">
        <f>ZE!F18</f>
        <v/>
      </c>
      <c r="AD18" s="38" t="str">
        <f t="shared" si="6"/>
        <v/>
      </c>
      <c r="AE18" s="85"/>
      <c r="AF18" s="85"/>
      <c r="AG18" s="85"/>
      <c r="AH18" s="101" t="str">
        <f t="shared" si="7"/>
        <v/>
      </c>
      <c r="AI18" s="88" t="str">
        <f>IF(ZE!H18,IF(ZE!J18,"B","NB"),"")</f>
        <v/>
      </c>
      <c r="AJ18" s="37" t="str">
        <f t="shared" si="8"/>
        <v/>
      </c>
      <c r="AK18" s="39"/>
      <c r="AL18" s="39"/>
    </row>
    <row r="19" spans="1:38" s="40" customFormat="1" ht="20.25" customHeight="1" x14ac:dyDescent="0.25">
      <c r="A19" s="35">
        <v>16</v>
      </c>
      <c r="B19" s="59"/>
      <c r="C19" s="60" t="str">
        <f t="shared" si="0"/>
        <v/>
      </c>
      <c r="D19" s="61"/>
      <c r="E19" s="62"/>
      <c r="F19" s="63"/>
      <c r="G19" s="64" t="str">
        <f>ZE!B19</f>
        <v/>
      </c>
      <c r="H19" s="75"/>
      <c r="I19" s="76"/>
      <c r="J19" s="76"/>
      <c r="K19" s="76"/>
      <c r="L19" s="76"/>
      <c r="M19" s="76"/>
      <c r="N19" s="76"/>
      <c r="O19" s="75"/>
      <c r="P19" s="75"/>
      <c r="Q19" s="75"/>
      <c r="R19" s="75"/>
      <c r="S19" s="75"/>
      <c r="T19" s="75"/>
      <c r="U19" s="74"/>
      <c r="V19" s="75"/>
      <c r="W19" s="78"/>
      <c r="X19" s="79"/>
      <c r="Y19" s="80"/>
      <c r="Z19" s="80"/>
      <c r="AA19" s="81"/>
      <c r="AB19" s="73" t="str">
        <f t="shared" si="5"/>
        <v/>
      </c>
      <c r="AC19" s="97" t="str">
        <f>ZE!F19</f>
        <v/>
      </c>
      <c r="AD19" s="38" t="str">
        <f t="shared" si="6"/>
        <v/>
      </c>
      <c r="AE19" s="85"/>
      <c r="AF19" s="85"/>
      <c r="AG19" s="85"/>
      <c r="AH19" s="101" t="str">
        <f t="shared" si="7"/>
        <v/>
      </c>
      <c r="AI19" s="88" t="str">
        <f>IF(ZE!H19,IF(ZE!J19,"B","NB"),"")</f>
        <v/>
      </c>
      <c r="AJ19" s="37" t="str">
        <f t="shared" si="8"/>
        <v/>
      </c>
      <c r="AK19" s="39"/>
      <c r="AL19" s="39"/>
    </row>
    <row r="20" spans="1:38" s="40" customFormat="1" ht="20.25" customHeight="1" x14ac:dyDescent="0.25">
      <c r="A20" s="35">
        <v>17</v>
      </c>
      <c r="B20" s="59"/>
      <c r="C20" s="60" t="str">
        <f t="shared" si="0"/>
        <v/>
      </c>
      <c r="D20" s="61"/>
      <c r="E20" s="62"/>
      <c r="F20" s="63"/>
      <c r="G20" s="64" t="str">
        <f>ZE!B20</f>
        <v/>
      </c>
      <c r="H20" s="75"/>
      <c r="I20" s="76"/>
      <c r="J20" s="76"/>
      <c r="K20" s="76"/>
      <c r="L20" s="76"/>
      <c r="M20" s="76"/>
      <c r="N20" s="76"/>
      <c r="O20" s="75"/>
      <c r="P20" s="75"/>
      <c r="Q20" s="75"/>
      <c r="R20" s="75"/>
      <c r="S20" s="75"/>
      <c r="T20" s="75"/>
      <c r="U20" s="74"/>
      <c r="V20" s="75"/>
      <c r="W20" s="78"/>
      <c r="X20" s="79"/>
      <c r="Y20" s="80"/>
      <c r="Z20" s="80"/>
      <c r="AA20" s="81"/>
      <c r="AB20" s="73" t="str">
        <f t="shared" si="5"/>
        <v/>
      </c>
      <c r="AC20" s="97" t="str">
        <f>ZE!F20</f>
        <v/>
      </c>
      <c r="AD20" s="38" t="str">
        <f t="shared" si="6"/>
        <v/>
      </c>
      <c r="AE20" s="85"/>
      <c r="AF20" s="85"/>
      <c r="AG20" s="85"/>
      <c r="AH20" s="101" t="str">
        <f t="shared" si="7"/>
        <v/>
      </c>
      <c r="AI20" s="88" t="str">
        <f>IF(ZE!H20,IF(ZE!J20,"B","NB"),"")</f>
        <v/>
      </c>
      <c r="AJ20" s="37" t="str">
        <f t="shared" si="8"/>
        <v/>
      </c>
      <c r="AK20" s="39"/>
      <c r="AL20" s="39"/>
    </row>
    <row r="21" spans="1:38" s="40" customFormat="1" ht="20.25" customHeight="1" x14ac:dyDescent="0.25">
      <c r="A21" s="35">
        <v>18</v>
      </c>
      <c r="B21" s="59"/>
      <c r="C21" s="60" t="str">
        <f t="shared" si="0"/>
        <v/>
      </c>
      <c r="D21" s="61"/>
      <c r="E21" s="62"/>
      <c r="F21" s="63"/>
      <c r="G21" s="64" t="str">
        <f>ZE!B21</f>
        <v/>
      </c>
      <c r="H21" s="75"/>
      <c r="I21" s="76"/>
      <c r="J21" s="76"/>
      <c r="K21" s="76"/>
      <c r="L21" s="76"/>
      <c r="M21" s="76"/>
      <c r="N21" s="76"/>
      <c r="O21" s="75"/>
      <c r="P21" s="75"/>
      <c r="Q21" s="75"/>
      <c r="R21" s="75"/>
      <c r="S21" s="75"/>
      <c r="T21" s="75"/>
      <c r="U21" s="74"/>
      <c r="V21" s="75"/>
      <c r="W21" s="78"/>
      <c r="X21" s="79"/>
      <c r="Y21" s="80"/>
      <c r="Z21" s="80"/>
      <c r="AA21" s="81"/>
      <c r="AB21" s="73" t="str">
        <f t="shared" si="5"/>
        <v/>
      </c>
      <c r="AC21" s="97" t="str">
        <f>ZE!F21</f>
        <v/>
      </c>
      <c r="AD21" s="38" t="str">
        <f t="shared" si="6"/>
        <v/>
      </c>
      <c r="AE21" s="85"/>
      <c r="AF21" s="85"/>
      <c r="AG21" s="85"/>
      <c r="AH21" s="101" t="str">
        <f t="shared" si="7"/>
        <v/>
      </c>
      <c r="AI21" s="88" t="str">
        <f>IF(ZE!H21,IF(ZE!J21,"B","NB"),"")</f>
        <v/>
      </c>
      <c r="AJ21" s="37" t="str">
        <f t="shared" si="8"/>
        <v/>
      </c>
      <c r="AK21" s="39"/>
      <c r="AL21" s="39"/>
    </row>
    <row r="22" spans="1:38" s="40" customFormat="1" ht="20.25" customHeight="1" x14ac:dyDescent="0.25">
      <c r="A22" s="35">
        <v>19</v>
      </c>
      <c r="B22" s="59"/>
      <c r="C22" s="60" t="str">
        <f>IF(AND(B22&lt;&gt;"",Ausrichter&lt;&gt;""),Ausrichter,"")</f>
        <v/>
      </c>
      <c r="D22" s="61"/>
      <c r="E22" s="62"/>
      <c r="F22" s="63"/>
      <c r="G22" s="64" t="str">
        <f>ZE!B22</f>
        <v/>
      </c>
      <c r="H22" s="75"/>
      <c r="I22" s="76"/>
      <c r="J22" s="76"/>
      <c r="K22" s="76"/>
      <c r="L22" s="76"/>
      <c r="M22" s="76"/>
      <c r="N22" s="76"/>
      <c r="O22" s="75"/>
      <c r="P22" s="75"/>
      <c r="Q22" s="75"/>
      <c r="R22" s="75"/>
      <c r="S22" s="75"/>
      <c r="T22" s="75"/>
      <c r="U22" s="74"/>
      <c r="V22" s="75"/>
      <c r="W22" s="78"/>
      <c r="X22" s="79"/>
      <c r="Y22" s="80"/>
      <c r="Z22" s="80"/>
      <c r="AA22" s="81"/>
      <c r="AB22" s="73" t="str">
        <f t="shared" si="5"/>
        <v/>
      </c>
      <c r="AC22" s="97" t="str">
        <f>ZE!F22</f>
        <v/>
      </c>
      <c r="AD22" s="38" t="str">
        <f t="shared" si="6"/>
        <v/>
      </c>
      <c r="AE22" s="85"/>
      <c r="AF22" s="85"/>
      <c r="AG22" s="85"/>
      <c r="AH22" s="101" t="str">
        <f t="shared" si="7"/>
        <v/>
      </c>
      <c r="AI22" s="88" t="str">
        <f>IF(ZE!H22,IF(ZE!J22,"B","NB"),"")</f>
        <v/>
      </c>
      <c r="AJ22" s="37" t="str">
        <f t="shared" si="8"/>
        <v/>
      </c>
      <c r="AK22" s="39"/>
      <c r="AL22" s="39"/>
    </row>
    <row r="23" spans="1:38" s="40" customFormat="1" ht="20.25" customHeight="1" thickBot="1" x14ac:dyDescent="0.3">
      <c r="A23" s="35">
        <v>20</v>
      </c>
      <c r="B23" s="59"/>
      <c r="C23" s="60" t="str">
        <f>IF(AND(B23&lt;&gt;"",Ausrichter&lt;&gt;""),Ausrichter,"")</f>
        <v/>
      </c>
      <c r="D23" s="61"/>
      <c r="E23" s="62"/>
      <c r="F23" s="63"/>
      <c r="G23" s="64" t="str">
        <f>ZE!B23</f>
        <v/>
      </c>
      <c r="H23" s="75"/>
      <c r="I23" s="76"/>
      <c r="J23" s="76"/>
      <c r="K23" s="76"/>
      <c r="L23" s="76"/>
      <c r="M23" s="76"/>
      <c r="N23" s="76"/>
      <c r="O23" s="75"/>
      <c r="P23" s="75"/>
      <c r="Q23" s="75"/>
      <c r="R23" s="75"/>
      <c r="S23" s="75"/>
      <c r="T23" s="75"/>
      <c r="U23" s="74"/>
      <c r="V23" s="75"/>
      <c r="W23" s="78"/>
      <c r="X23" s="79"/>
      <c r="Y23" s="80"/>
      <c r="Z23" s="80"/>
      <c r="AA23" s="81"/>
      <c r="AB23" s="73" t="str">
        <f t="shared" si="5"/>
        <v/>
      </c>
      <c r="AC23" s="98" t="str">
        <f>ZE!F23</f>
        <v/>
      </c>
      <c r="AD23" s="99" t="str">
        <f t="shared" si="6"/>
        <v/>
      </c>
      <c r="AE23" s="100"/>
      <c r="AF23" s="100"/>
      <c r="AG23" s="100"/>
      <c r="AH23" s="101" t="str">
        <f t="shared" si="7"/>
        <v/>
      </c>
      <c r="AI23" s="102" t="str">
        <f>IF(ZE!H23,IF(ZE!J23,"B","NB"),"")</f>
        <v/>
      </c>
      <c r="AJ23" s="37" t="str">
        <f t="shared" si="8"/>
        <v/>
      </c>
      <c r="AK23" s="39"/>
      <c r="AL23" s="39"/>
    </row>
    <row r="24" spans="1:38" ht="10.5" customHeight="1" x14ac:dyDescent="0.2">
      <c r="A24" s="41" t="s">
        <v>13</v>
      </c>
      <c r="B24" s="42"/>
      <c r="C24" s="42"/>
      <c r="D24" s="42"/>
      <c r="E24" s="42"/>
      <c r="F24" s="42"/>
      <c r="G24" s="42"/>
      <c r="H24" s="42"/>
      <c r="I24" s="42"/>
      <c r="J24" s="42"/>
      <c r="K24" s="42"/>
      <c r="L24" s="42"/>
      <c r="M24" s="42"/>
      <c r="N24" s="42"/>
      <c r="O24" s="42"/>
      <c r="P24" s="42"/>
      <c r="Q24" s="42"/>
      <c r="R24" s="42"/>
      <c r="S24" s="42"/>
      <c r="T24" s="42"/>
      <c r="U24" s="42"/>
      <c r="V24" s="42"/>
      <c r="W24" s="43"/>
      <c r="X24" s="44"/>
      <c r="Y24" s="42"/>
      <c r="Z24" s="42"/>
      <c r="AA24" s="42"/>
      <c r="AB24" s="42"/>
      <c r="AC24" s="42"/>
      <c r="AD24" s="42"/>
      <c r="AE24" s="42"/>
      <c r="AF24" s="42"/>
      <c r="AG24" s="42"/>
      <c r="AH24" s="42"/>
      <c r="AI24" s="42"/>
      <c r="AJ24" s="45"/>
    </row>
    <row r="25" spans="1:38" ht="9.75" customHeight="1" x14ac:dyDescent="0.2">
      <c r="A25" s="46" t="s">
        <v>32</v>
      </c>
      <c r="B25" s="47"/>
      <c r="C25" s="39"/>
      <c r="D25" s="39"/>
      <c r="E25" s="39"/>
      <c r="F25" s="39"/>
      <c r="G25" s="39"/>
      <c r="H25" s="39"/>
      <c r="I25" s="39"/>
      <c r="J25" s="39"/>
      <c r="K25" s="39"/>
      <c r="L25" s="39"/>
      <c r="M25" s="39"/>
      <c r="N25" s="39"/>
      <c r="O25" s="39"/>
      <c r="P25" s="39"/>
      <c r="Q25" s="39"/>
      <c r="R25" s="39"/>
      <c r="S25" s="39"/>
      <c r="T25" s="39"/>
      <c r="U25" s="39"/>
      <c r="V25" s="39"/>
      <c r="W25" s="48"/>
      <c r="X25" s="49"/>
      <c r="Y25" s="39"/>
      <c r="Z25" s="39"/>
      <c r="AA25" s="39"/>
      <c r="AB25" s="39"/>
      <c r="AC25" s="39"/>
      <c r="AD25" s="39"/>
      <c r="AE25" s="39"/>
      <c r="AF25" s="39"/>
      <c r="AG25" s="39"/>
      <c r="AH25" s="39"/>
      <c r="AI25" s="39"/>
      <c r="AJ25" s="50"/>
    </row>
    <row r="26" spans="1:38" ht="9.75" customHeight="1" x14ac:dyDescent="0.2">
      <c r="A26" s="51" t="s">
        <v>33</v>
      </c>
      <c r="B26" s="47"/>
      <c r="C26" s="39"/>
      <c r="D26" s="39"/>
      <c r="E26" s="39"/>
      <c r="F26" s="39"/>
      <c r="G26" s="39"/>
      <c r="H26" s="39"/>
      <c r="I26" s="39"/>
      <c r="J26" s="39"/>
      <c r="K26" s="39"/>
      <c r="L26" s="39"/>
      <c r="M26" s="39"/>
      <c r="N26" s="39"/>
      <c r="O26" s="39"/>
      <c r="P26" s="39"/>
      <c r="Q26" s="39"/>
      <c r="R26" s="39"/>
      <c r="S26" s="39"/>
      <c r="T26" s="39"/>
      <c r="U26" s="39"/>
      <c r="V26" s="39"/>
      <c r="W26" s="48"/>
      <c r="X26" s="49"/>
      <c r="Y26" s="39"/>
      <c r="Z26" s="39"/>
      <c r="AA26" s="39"/>
      <c r="AB26" s="39"/>
      <c r="AC26" s="39"/>
      <c r="AD26" s="39"/>
      <c r="AE26" s="39"/>
      <c r="AF26" s="39"/>
      <c r="AG26" s="39"/>
      <c r="AH26" s="39"/>
      <c r="AI26" s="39"/>
      <c r="AJ26" s="50"/>
    </row>
    <row r="27" spans="1:38" ht="9.75" customHeight="1" x14ac:dyDescent="0.2">
      <c r="A27" s="51" t="s">
        <v>34</v>
      </c>
      <c r="B27" s="47"/>
      <c r="C27" s="39"/>
      <c r="D27" s="39"/>
      <c r="E27" s="39"/>
      <c r="F27" s="39"/>
      <c r="G27" s="39"/>
      <c r="H27" s="39"/>
      <c r="I27" s="39"/>
      <c r="J27" s="39"/>
      <c r="K27" s="39"/>
      <c r="L27" s="39"/>
      <c r="M27" s="39"/>
      <c r="N27" s="39"/>
      <c r="O27" s="39"/>
      <c r="P27" s="39"/>
      <c r="Q27" s="39"/>
      <c r="R27" s="39"/>
      <c r="S27" s="39"/>
      <c r="T27" s="39"/>
      <c r="U27" s="39"/>
      <c r="V27" s="39"/>
      <c r="W27" s="52"/>
      <c r="X27" s="53"/>
      <c r="Y27" s="39"/>
      <c r="Z27" s="39"/>
      <c r="AA27" s="39"/>
      <c r="AB27" s="39"/>
      <c r="AC27" s="39"/>
      <c r="AD27" s="39"/>
      <c r="AE27" s="39"/>
      <c r="AF27" s="39"/>
      <c r="AG27" s="39"/>
      <c r="AH27" s="39"/>
      <c r="AI27" s="39"/>
      <c r="AJ27" s="50"/>
    </row>
    <row r="28" spans="1:38" ht="9.75" customHeight="1" x14ac:dyDescent="0.2">
      <c r="A28" s="51" t="s">
        <v>35</v>
      </c>
      <c r="B28" s="47"/>
      <c r="C28" s="39"/>
      <c r="D28" s="39"/>
      <c r="E28" s="39"/>
      <c r="F28" s="54"/>
      <c r="G28" s="54"/>
      <c r="H28" s="54"/>
      <c r="I28" s="54"/>
      <c r="J28" s="54"/>
      <c r="K28" s="54"/>
      <c r="L28" s="54"/>
      <c r="M28" s="39"/>
      <c r="N28" s="54"/>
      <c r="O28" s="54"/>
      <c r="P28" s="54"/>
      <c r="Q28" s="54"/>
      <c r="R28" s="54"/>
      <c r="S28" s="54"/>
      <c r="T28" s="54"/>
      <c r="U28" s="54"/>
      <c r="V28" s="54"/>
      <c r="W28" s="54"/>
      <c r="X28" s="53"/>
      <c r="Y28" s="54"/>
      <c r="Z28" s="54"/>
      <c r="AA28" s="54"/>
      <c r="AB28" s="54"/>
      <c r="AC28" s="54"/>
      <c r="AD28" s="54"/>
      <c r="AE28" s="54"/>
      <c r="AF28" s="54"/>
      <c r="AG28" s="54"/>
      <c r="AH28" s="54"/>
      <c r="AI28" s="39"/>
      <c r="AJ28" s="50"/>
    </row>
    <row r="29" spans="1:38" ht="9.75" customHeight="1" thickBot="1" x14ac:dyDescent="0.25">
      <c r="A29" s="55" t="s">
        <v>36</v>
      </c>
      <c r="B29" s="56"/>
      <c r="C29" s="24"/>
      <c r="D29" s="161" t="s">
        <v>14</v>
      </c>
      <c r="E29" s="162"/>
      <c r="F29" s="167" t="str">
        <f>IF(Außenseite!S23&lt;&gt;"",Außenseite!S23,"Prüfer 1")</f>
        <v>Prüfer 1</v>
      </c>
      <c r="G29" s="167"/>
      <c r="H29" s="167"/>
      <c r="I29" s="167"/>
      <c r="J29" s="167"/>
      <c r="K29" s="167"/>
      <c r="L29" s="167"/>
      <c r="M29" s="103" t="s">
        <v>5</v>
      </c>
      <c r="N29" s="167" t="str">
        <f>IF(Außenseite!S25&lt;&gt;"",Außenseite!S25,"Prüfer 2")</f>
        <v>Prüfer 2</v>
      </c>
      <c r="O29" s="167"/>
      <c r="P29" s="167"/>
      <c r="Q29" s="167"/>
      <c r="R29" s="167"/>
      <c r="S29" s="167"/>
      <c r="T29" s="167"/>
      <c r="U29" s="167"/>
      <c r="V29" s="167"/>
      <c r="W29" s="167"/>
      <c r="X29" s="103"/>
      <c r="Y29" s="167" t="str">
        <f>IF(Außenseite!S27&lt;&gt;"",Außenseite!S27,"Prüfer 3")</f>
        <v>Prüfer 3</v>
      </c>
      <c r="Z29" s="167"/>
      <c r="AA29" s="167"/>
      <c r="AB29" s="167"/>
      <c r="AC29" s="167"/>
      <c r="AD29" s="167"/>
      <c r="AE29" s="167"/>
      <c r="AF29" s="167"/>
      <c r="AG29" s="167"/>
      <c r="AH29" s="167"/>
      <c r="AI29" s="57"/>
      <c r="AJ29" s="104" t="s">
        <v>201</v>
      </c>
    </row>
  </sheetData>
  <sheetProtection sheet="1" objects="1" scenarios="1"/>
  <mergeCells count="41">
    <mergeCell ref="X2:X3"/>
    <mergeCell ref="U2:U3"/>
    <mergeCell ref="AA1:AJ1"/>
    <mergeCell ref="Y29:AH29"/>
    <mergeCell ref="Y2:Y3"/>
    <mergeCell ref="Z2:Z3"/>
    <mergeCell ref="AA2:AA3"/>
    <mergeCell ref="AE2:AE3"/>
    <mergeCell ref="AF2:AF3"/>
    <mergeCell ref="AD2:AD3"/>
    <mergeCell ref="AB2:AB3"/>
    <mergeCell ref="AJ2:AJ3"/>
    <mergeCell ref="AG2:AG3"/>
    <mergeCell ref="AH2:AH3"/>
    <mergeCell ref="AI2:AI3"/>
    <mergeCell ref="AC2:AC3"/>
    <mergeCell ref="C1:E1"/>
    <mergeCell ref="P2:P3"/>
    <mergeCell ref="Q2:Q3"/>
    <mergeCell ref="A2:A3"/>
    <mergeCell ref="B2:B3"/>
    <mergeCell ref="C2:C3"/>
    <mergeCell ref="D2:D3"/>
    <mergeCell ref="G2:G3"/>
    <mergeCell ref="I2:I3"/>
    <mergeCell ref="H2:H3"/>
    <mergeCell ref="D29:E29"/>
    <mergeCell ref="N2:N3"/>
    <mergeCell ref="E2:F2"/>
    <mergeCell ref="F29:L29"/>
    <mergeCell ref="N29:W29"/>
    <mergeCell ref="T2:T3"/>
    <mergeCell ref="M2:M3"/>
    <mergeCell ref="S2:S3"/>
    <mergeCell ref="R2:R3"/>
    <mergeCell ref="J2:J3"/>
    <mergeCell ref="K2:K3"/>
    <mergeCell ref="L2:L3"/>
    <mergeCell ref="O2:O3"/>
    <mergeCell ref="V2:V3"/>
    <mergeCell ref="W2:W3"/>
  </mergeCells>
  <phoneticPr fontId="0" type="noConversion"/>
  <conditionalFormatting sqref="AE4:AE23">
    <cfRule type="expression" dxfId="35" priority="25" stopIfTrue="1">
      <formula>OR(AB4=1,AB4=3)</formula>
    </cfRule>
  </conditionalFormatting>
  <conditionalFormatting sqref="AF4:AG23">
    <cfRule type="expression" dxfId="34" priority="26" stopIfTrue="1">
      <formula>OR($AB4=1,$AB4=2)</formula>
    </cfRule>
  </conditionalFormatting>
  <conditionalFormatting sqref="AH4:AH23">
    <cfRule type="expression" dxfId="33" priority="27" stopIfTrue="1">
      <formula>AB4=3</formula>
    </cfRule>
  </conditionalFormatting>
  <conditionalFormatting sqref="D22:D23">
    <cfRule type="expression" dxfId="32" priority="28" stopIfTrue="1">
      <formula>NOT(INDEX(mindestalterErreicht,CELL("Zeile",D22)-3))</formula>
    </cfRule>
  </conditionalFormatting>
  <conditionalFormatting sqref="AI4:AJ23">
    <cfRule type="expression" dxfId="31" priority="29" stopIfTrue="1">
      <formula>$AI4="NB"</formula>
    </cfRule>
  </conditionalFormatting>
  <conditionalFormatting sqref="E23">
    <cfRule type="expression" dxfId="30" priority="30" stopIfTrue="1">
      <formula>NOT(INDEX(vorbereitungszeitErreicht,CELL("Zeile",E23)-3))</formula>
    </cfRule>
  </conditionalFormatting>
  <conditionalFormatting sqref="D12:D21">
    <cfRule type="expression" dxfId="29" priority="21" stopIfTrue="1">
      <formula>NOT(INDEX(mindestalterErreicht,CELL("Zeile",D12)-3))</formula>
    </cfRule>
  </conditionalFormatting>
  <conditionalFormatting sqref="E14:E16">
    <cfRule type="expression" dxfId="28" priority="22" stopIfTrue="1">
      <formula>NOT(INDEX(vorbereitungszeitErreicht,CELL("Zeile",E14)-3))</formula>
    </cfRule>
  </conditionalFormatting>
  <conditionalFormatting sqref="D4">
    <cfRule type="expression" dxfId="27" priority="19" stopIfTrue="1">
      <formula>NOT(INDEX(mindestalterErreicht,CELL("Zeile",D4)-3))</formula>
    </cfRule>
  </conditionalFormatting>
  <conditionalFormatting sqref="E4">
    <cfRule type="expression" dxfId="26" priority="20" stopIfTrue="1">
      <formula>NOT(INDEX(vorbereitungszeitErreicht,CELL("Zeile",E4)-3))</formula>
    </cfRule>
  </conditionalFormatting>
  <conditionalFormatting sqref="H4:AA23">
    <cfRule type="expression" dxfId="25" priority="39" stopIfTrue="1">
      <formula>IF($G4&lt;&gt;"",(VLOOKUP($G4,nst,CELL("Spalte",H4)-CELL("Spalte",$H4)+6,FALSE)=0),FALSE)</formula>
    </cfRule>
    <cfRule type="expression" dxfId="24" priority="40" stopIfTrue="1">
      <formula>IF($G4&lt;&gt;"",(VLOOKUP($G4,nst,CELL("Spalte",H4)-CELL("Spalte",$H4)+6,FALSE)="z"),FALSE)</formula>
    </cfRule>
  </conditionalFormatting>
  <conditionalFormatting sqref="D5">
    <cfRule type="expression" dxfId="23" priority="17" stopIfTrue="1">
      <formula>NOT(INDEX(mindestalterErreicht,CELL("Zeile",D5)-3))</formula>
    </cfRule>
  </conditionalFormatting>
  <conditionalFormatting sqref="E5">
    <cfRule type="expression" dxfId="22" priority="18" stopIfTrue="1">
      <formula>NOT(INDEX(vorbereitungszeitErreicht,CELL("Zeile",E5)-3))</formula>
    </cfRule>
  </conditionalFormatting>
  <conditionalFormatting sqref="D6">
    <cfRule type="expression" dxfId="21" priority="15" stopIfTrue="1">
      <formula>NOT(INDEX(mindestalterErreicht,CELL("Zeile",D6)-3))</formula>
    </cfRule>
  </conditionalFormatting>
  <conditionalFormatting sqref="D7">
    <cfRule type="expression" dxfId="20" priority="13" stopIfTrue="1">
      <formula>NOT(INDEX(mindestalterErreicht,CELL("Zeile",D7)-3))</formula>
    </cfRule>
  </conditionalFormatting>
  <conditionalFormatting sqref="D8">
    <cfRule type="expression" dxfId="19" priority="11" stopIfTrue="1">
      <formula>NOT(INDEX(mindestalterErreicht,CELL("Zeile",D8)-3))</formula>
    </cfRule>
  </conditionalFormatting>
  <conditionalFormatting sqref="D9">
    <cfRule type="expression" dxfId="18" priority="9" stopIfTrue="1">
      <formula>NOT(INDEX(mindestalterErreicht,CELL("Zeile",D9)-3))</formula>
    </cfRule>
  </conditionalFormatting>
  <conditionalFormatting sqref="E6:E9">
    <cfRule type="expression" dxfId="17" priority="8" stopIfTrue="1">
      <formula>NOT(INDEX(vorbereitungszeitErreicht,CELL("Zeile",E6)-3))</formula>
    </cfRule>
  </conditionalFormatting>
  <conditionalFormatting sqref="D10">
    <cfRule type="expression" dxfId="16" priority="7" stopIfTrue="1">
      <formula>NOT(INDEX(mindestalterErreicht,CELL("Zeile",D10)-3))</formula>
    </cfRule>
  </conditionalFormatting>
  <conditionalFormatting sqref="D11">
    <cfRule type="expression" dxfId="15" priority="6" stopIfTrue="1">
      <formula>NOT(INDEX(mindestalterErreicht,CELL("Zeile",D11)-3))</formula>
    </cfRule>
  </conditionalFormatting>
  <conditionalFormatting sqref="E10">
    <cfRule type="expression" dxfId="14" priority="5" stopIfTrue="1">
      <formula>NOT(INDEX(vorbereitungszeitErreicht,CELL("Zeile",E10)-3))</formula>
    </cfRule>
  </conditionalFormatting>
  <conditionalFormatting sqref="E11">
    <cfRule type="expression" dxfId="13" priority="4" stopIfTrue="1">
      <formula>NOT(INDEX(vorbereitungszeitErreicht,CELL("Zeile",E11)-3))</formula>
    </cfRule>
  </conditionalFormatting>
  <conditionalFormatting sqref="E12">
    <cfRule type="expression" dxfId="12" priority="3" stopIfTrue="1">
      <formula>NOT(INDEX(vorbereitungszeitErreicht,CELL("Zeile",E12)-3))</formula>
    </cfRule>
  </conditionalFormatting>
  <conditionalFormatting sqref="E13">
    <cfRule type="expression" dxfId="11" priority="2" stopIfTrue="1">
      <formula>NOT(INDEX(vorbereitungszeitErreicht,CELL("Zeile",E13)-3))</formula>
    </cfRule>
  </conditionalFormatting>
  <conditionalFormatting sqref="E17:E22">
    <cfRule type="expression" dxfId="10" priority="1" stopIfTrue="1">
      <formula>NOT(INDEX(vorbereitungszeitErreicht,CELL("Zeile",E17)-3))</formula>
    </cfRule>
  </conditionalFormatting>
  <dataValidations count="7">
    <dataValidation type="list" allowBlank="1" showInputMessage="1" showErrorMessage="1" errorTitle="Ungültige Graduierung" error="Bitte Graduierungen nur mit dem Text eingeben, der in der Auswahlliste (Klick auf Schaltfläche rechts der Zelle) angeboten wird." sqref="F4:F23" xr:uid="{00000000-0002-0000-0100-000000000000}">
      <formula1>bisherigerGrad</formula1>
    </dataValidation>
    <dataValidation type="list" allowBlank="1" showInputMessage="1" showErrorMessage="1" errorTitle="Ungültige Graduierung" error="Bitte Graduierungen nur mit dem Text eingeben, der der Auswahlliste (Klick auf Schaltfläche rechts der Zelle) angeboten wird." sqref="G4:G23" xr:uid="{00000000-0002-0000-0100-000001000000}">
      <formula1>angestrebterGrad</formula1>
    </dataValidation>
    <dataValidation type="whole" allowBlank="1" showInputMessage="1" showErrorMessage="1" errorTitle="Ungültiger Punktewert" error="Bitte eine ganze Zahl zwischen 12 und 90 für den Punktewert des zweiten Prüfers eingeben." sqref="AE4:AE23" xr:uid="{00000000-0002-0000-0100-000002000000}">
      <formula1>12</formula1>
      <formula2>90</formula2>
    </dataValidation>
    <dataValidation type="list" allowBlank="1" showInputMessage="1" showErrorMessage="1" errorTitle="Ungültiger Wert" error="Bitte nur &quot;B&quot; für &quot;bestanden&quot; oder &quot;NB&quot; für &quot;nicht bestanden&quot; eingeben." sqref="AF4:AG23" xr:uid="{00000000-0002-0000-0100-000003000000}">
      <formula1>bNb</formula1>
    </dataValidation>
    <dataValidation type="list" allowBlank="1" showInputMessage="1" showErrorMessage="1" errorTitle="Ungültige Eingabe" error="Bitte nur &quot;B&quot; für &quot;bestanden&quot; oder &quot;NB&quot; für &quot;nicht bestanden&quot; eingeben." sqref="AI4:AI23" xr:uid="{00000000-0002-0000-0100-000004000000}">
      <formula1>bNb</formula1>
    </dataValidation>
    <dataValidation type="whole" allowBlank="1" showInputMessage="1" showErrorMessage="1" errorTitle="Anzahl der Prüfer" error="Anzahl der Prüfer muss 1, 2 oder 3 sein." sqref="AB4:AB23" xr:uid="{00000000-0002-0000-0100-000005000000}">
      <formula1>1</formula1>
      <formula2>3</formula2>
    </dataValidation>
    <dataValidation type="whole" allowBlank="1" showInputMessage="1" showErrorMessage="1" errorTitle="Ungültiger Punktewert" error="Bitte eine ganze Zahl von 1 bis 5 als Punktzahl für das Prüfungsfach eingeben." sqref="H4:W23" xr:uid="{00000000-0002-0000-0100-000006000000}">
      <formula1>1</formula1>
      <formula2>5</formula2>
    </dataValidation>
  </dataValidations>
  <pageMargins left="0.19685039370078741" right="0.19685039370078741" top="0.19685039370078741" bottom="0" header="0.51181102362204722" footer="0.51181102362204722"/>
  <pageSetup paperSize="9" scale="93"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B1:R23"/>
  <sheetViews>
    <sheetView showGridLines="0" workbookViewId="0">
      <pane xSplit="2" ySplit="5" topLeftCell="C6" activePane="bottomRight" state="frozen"/>
      <selection pane="topRight" activeCell="C1" sqref="C1"/>
      <selection pane="bottomLeft" activeCell="A5" sqref="A5"/>
      <selection pane="bottomRight" activeCell="C4" sqref="C4:D4"/>
    </sheetView>
  </sheetViews>
  <sheetFormatPr baseColWidth="10" defaultColWidth="11.5703125" defaultRowHeight="12.75" x14ac:dyDescent="0.2"/>
  <cols>
    <col min="1" max="1" width="1.85546875" style="15" customWidth="1"/>
    <col min="2" max="2" width="6.85546875" style="15" customWidth="1"/>
    <col min="3" max="18" width="6" style="15" customWidth="1"/>
    <col min="19" max="16384" width="11.5703125" style="15"/>
  </cols>
  <sheetData>
    <row r="1" spans="2:18" ht="18" x14ac:dyDescent="0.25">
      <c r="B1" s="14" t="s">
        <v>159</v>
      </c>
    </row>
    <row r="2" spans="2:18" ht="18" x14ac:dyDescent="0.25">
      <c r="B2" s="14"/>
      <c r="E2" s="189" t="s">
        <v>153</v>
      </c>
      <c r="F2" s="189"/>
      <c r="G2" s="189"/>
      <c r="H2" s="189"/>
      <c r="I2" s="189"/>
      <c r="J2" s="189"/>
      <c r="K2" s="189"/>
      <c r="L2" s="189"/>
      <c r="M2" s="189"/>
      <c r="N2" s="189"/>
      <c r="O2" s="189"/>
      <c r="P2" s="189"/>
      <c r="Q2" s="189"/>
      <c r="R2" s="189"/>
    </row>
    <row r="3" spans="2:18" ht="18.75" thickBot="1" x14ac:dyDescent="0.3">
      <c r="B3" s="14"/>
      <c r="C3" s="189"/>
      <c r="D3" s="189"/>
      <c r="E3" s="189">
        <v>1</v>
      </c>
      <c r="F3" s="189"/>
      <c r="G3" s="189">
        <v>2</v>
      </c>
      <c r="H3" s="189"/>
      <c r="I3" s="189">
        <v>3</v>
      </c>
      <c r="J3" s="189"/>
      <c r="K3" s="189">
        <v>4</v>
      </c>
      <c r="L3" s="189"/>
      <c r="M3" s="189">
        <v>5</v>
      </c>
      <c r="N3" s="189"/>
      <c r="O3" s="189">
        <v>6</v>
      </c>
      <c r="P3" s="189"/>
      <c r="Q3" s="189">
        <v>7</v>
      </c>
      <c r="R3" s="189"/>
    </row>
    <row r="4" spans="2:18" ht="18" x14ac:dyDescent="0.25">
      <c r="B4" s="14"/>
      <c r="C4" s="192" t="s">
        <v>152</v>
      </c>
      <c r="D4" s="193"/>
      <c r="E4" s="190" t="str">
        <f>"bis " &amp; HLOOKUP(E3,AStufen,2,FALSE) &amp; " Jahre"</f>
        <v>bis 6 Jahre</v>
      </c>
      <c r="F4" s="191"/>
      <c r="G4" s="190" t="str">
        <f>HLOOKUP(G3-1,AStufen,2,FALSE) &amp; " bis " &amp; HLOOKUP(G3,AStufen,2,FALSE) &amp; " Jahre"</f>
        <v>6 bis 14 Jahre</v>
      </c>
      <c r="H4" s="191"/>
      <c r="I4" s="190" t="str">
        <f>HLOOKUP(I3-1,AStufen,2,FALSE) &amp; " bis " &amp; HLOOKUP(I3,AStufen,2,FALSE) &amp; " Jahre"</f>
        <v>14 bis 18 Jahre</v>
      </c>
      <c r="J4" s="191"/>
      <c r="K4" s="190" t="str">
        <f>HLOOKUP(K3-1,AStufen,2,FALSE) &amp; " bis " &amp; HLOOKUP(K3,AStufen,2,FALSE) &amp; " Jahre"</f>
        <v>18 bis 26 Jahre</v>
      </c>
      <c r="L4" s="191"/>
      <c r="M4" s="190" t="str">
        <f>HLOOKUP(M3-1,AStufen,2,FALSE) &amp; " bis " &amp; HLOOKUP(M3,AStufen,2,FALSE) &amp; " Jahre"</f>
        <v>26 bis 40 Jahre</v>
      </c>
      <c r="N4" s="191"/>
      <c r="O4" s="190" t="str">
        <f>HLOOKUP(O3-1,AStufen,2,FALSE) &amp; " bis " &amp; HLOOKUP(O3,AStufen,2,FALSE) &amp; " Jahre"</f>
        <v>40 bis 60 Jahre</v>
      </c>
      <c r="P4" s="191"/>
      <c r="Q4" s="190" t="str">
        <f>"ab " &amp; HLOOKUP(Q3-1,AStufen,2,FALSE) &amp;  " Jahre"</f>
        <v>ab 60 Jahre</v>
      </c>
      <c r="R4" s="191"/>
    </row>
    <row r="5" spans="2:18" ht="13.5" thickBot="1" x14ac:dyDescent="0.25">
      <c r="C5" s="29" t="s">
        <v>115</v>
      </c>
      <c r="D5" s="119" t="s">
        <v>116</v>
      </c>
      <c r="E5" s="29" t="s">
        <v>115</v>
      </c>
      <c r="F5" s="119" t="s">
        <v>116</v>
      </c>
      <c r="G5" s="29" t="s">
        <v>115</v>
      </c>
      <c r="H5" s="119" t="s">
        <v>116</v>
      </c>
      <c r="I5" s="29" t="s">
        <v>115</v>
      </c>
      <c r="J5" s="119" t="s">
        <v>116</v>
      </c>
      <c r="K5" s="29" t="s">
        <v>115</v>
      </c>
      <c r="L5" s="119" t="s">
        <v>116</v>
      </c>
      <c r="M5" s="29" t="s">
        <v>115</v>
      </c>
      <c r="N5" s="119" t="s">
        <v>116</v>
      </c>
      <c r="O5" s="29" t="s">
        <v>115</v>
      </c>
      <c r="P5" s="119" t="s">
        <v>116</v>
      </c>
      <c r="Q5" s="29" t="s">
        <v>115</v>
      </c>
      <c r="R5" s="119" t="s">
        <v>116</v>
      </c>
    </row>
    <row r="6" spans="2:18" x14ac:dyDescent="0.2">
      <c r="B6" s="114" t="str">
        <f>MV!C3</f>
        <v>6.I Kyu</v>
      </c>
      <c r="C6" s="117">
        <f t="shared" ref="C6:C22" si="0">SUM(E6,G6,I6,K6,M6,O6,Q6)</f>
        <v>0</v>
      </c>
      <c r="D6" s="118">
        <f t="shared" ref="D6:D22" si="1">SUM(F6,H6,J6,L6,N6,P6,R6)</f>
        <v>0</v>
      </c>
      <c r="E6" s="125">
        <f>COUNTIF(ZE!$P$4:'ZE'!$P$23,$B6&amp;E$3&amp;E$5)</f>
        <v>0</v>
      </c>
      <c r="F6" s="131">
        <f>COUNTIF(ZE!$P$4:'ZE'!$P$23,$B6&amp;E$3&amp;F$5)</f>
        <v>0</v>
      </c>
      <c r="G6" s="125">
        <f>COUNTIF(ZE!$P$4:'ZE'!$P$23,$B6&amp;G$3&amp;G$5)</f>
        <v>0</v>
      </c>
      <c r="H6" s="131">
        <f>COUNTIF(ZE!$P$4:'ZE'!$P$23,$B6&amp;G$3&amp;H$5)</f>
        <v>0</v>
      </c>
      <c r="I6" s="125">
        <f>COUNTIF(ZE!$P$4:'ZE'!$P$23,$B6&amp;I$3&amp;I$5)</f>
        <v>0</v>
      </c>
      <c r="J6" s="131">
        <f>COUNTIF(ZE!$P$4:'ZE'!$P$23,$B6&amp;I$3&amp;J$5)</f>
        <v>0</v>
      </c>
      <c r="K6" s="125">
        <f>COUNTIF(ZE!$P$4:'ZE'!$P$23,$B6&amp;K$3&amp;K$5)</f>
        <v>0</v>
      </c>
      <c r="L6" s="131">
        <f>COUNTIF(ZE!$P$4:'ZE'!$P$23,$B6&amp;K$3&amp;L$5)</f>
        <v>0</v>
      </c>
      <c r="M6" s="125">
        <f>COUNTIF(ZE!$P$4:'ZE'!$P$23,$B6&amp;M$3&amp;M$5)</f>
        <v>0</v>
      </c>
      <c r="N6" s="131">
        <f>COUNTIF(ZE!$P$4:'ZE'!$P$23,$B6&amp;M$3&amp;N$5)</f>
        <v>0</v>
      </c>
      <c r="O6" s="125">
        <f>COUNTIF(ZE!$P$4:'ZE'!$P$23,$B6&amp;O$3&amp;O$5)</f>
        <v>0</v>
      </c>
      <c r="P6" s="131">
        <f>COUNTIF(ZE!$P$4:'ZE'!$P$23,$B6&amp;O$3&amp;P$5)</f>
        <v>0</v>
      </c>
      <c r="Q6" s="125">
        <f>COUNTIF(ZE!$P$4:'ZE'!$P$23,$B6&amp;Q$3&amp;Q$5)</f>
        <v>0</v>
      </c>
      <c r="R6" s="131">
        <f>COUNTIF(ZE!$P$4:'ZE'!$P$23,$B6&amp;Q$3&amp;R$5)</f>
        <v>0</v>
      </c>
    </row>
    <row r="7" spans="2:18" x14ac:dyDescent="0.2">
      <c r="B7" s="115" t="str">
        <f>MV!C4</f>
        <v>6.II Kyu</v>
      </c>
      <c r="C7" s="110">
        <f t="shared" si="0"/>
        <v>0</v>
      </c>
      <c r="D7" s="111">
        <f t="shared" si="1"/>
        <v>0</v>
      </c>
      <c r="E7" s="126">
        <f>COUNTIF(ZE!$P$4:'ZE'!$P$23,$B7&amp;E$3&amp;E$5)</f>
        <v>0</v>
      </c>
      <c r="F7" s="132">
        <f>COUNTIF(ZE!$P$4:'ZE'!$P$23,$B7&amp;E$3&amp;F$5)</f>
        <v>0</v>
      </c>
      <c r="G7" s="126">
        <f>COUNTIF(ZE!$P$4:'ZE'!$P$23,$B7&amp;G$3&amp;G$5)</f>
        <v>0</v>
      </c>
      <c r="H7" s="132">
        <f>COUNTIF(ZE!$P$4:'ZE'!$P$23,$B7&amp;G$3&amp;H$5)</f>
        <v>0</v>
      </c>
      <c r="I7" s="126">
        <f>COUNTIF(ZE!$P$4:'ZE'!$P$23,$B7&amp;I$3&amp;I$5)</f>
        <v>0</v>
      </c>
      <c r="J7" s="132">
        <f>COUNTIF(ZE!$P$4:'ZE'!$P$23,$B7&amp;I$3&amp;J$5)</f>
        <v>0</v>
      </c>
      <c r="K7" s="126">
        <f>COUNTIF(ZE!$P$4:'ZE'!$P$23,$B7&amp;K$3&amp;K$5)</f>
        <v>0</v>
      </c>
      <c r="L7" s="132">
        <f>COUNTIF(ZE!$P$4:'ZE'!$P$23,$B7&amp;K$3&amp;L$5)</f>
        <v>0</v>
      </c>
      <c r="M7" s="126">
        <f>COUNTIF(ZE!$P$4:'ZE'!$P$23,$B7&amp;M$3&amp;M$5)</f>
        <v>0</v>
      </c>
      <c r="N7" s="132">
        <f>COUNTIF(ZE!$P$4:'ZE'!$P$23,$B7&amp;M$3&amp;N$5)</f>
        <v>0</v>
      </c>
      <c r="O7" s="126">
        <f>COUNTIF(ZE!$P$4:'ZE'!$P$23,$B7&amp;O$3&amp;O$5)</f>
        <v>0</v>
      </c>
      <c r="P7" s="132">
        <f>COUNTIF(ZE!$P$4:'ZE'!$P$23,$B7&amp;O$3&amp;P$5)</f>
        <v>0</v>
      </c>
      <c r="Q7" s="126">
        <f>COUNTIF(ZE!$P$4:'ZE'!$P$23,$B7&amp;Q$3&amp;Q$5)</f>
        <v>0</v>
      </c>
      <c r="R7" s="132">
        <f>COUNTIF(ZE!$P$4:'ZE'!$P$23,$B7&amp;Q$3&amp;R$5)</f>
        <v>0</v>
      </c>
    </row>
    <row r="8" spans="2:18" x14ac:dyDescent="0.2">
      <c r="B8" s="115" t="str">
        <f>MV!C5</f>
        <v>5. Kyu</v>
      </c>
      <c r="C8" s="110">
        <f t="shared" si="0"/>
        <v>0</v>
      </c>
      <c r="D8" s="111">
        <f t="shared" si="1"/>
        <v>0</v>
      </c>
      <c r="E8" s="126">
        <f>COUNTIF(ZE!$P$4:'ZE'!$P$23,$B8&amp;E$3&amp;E$5)</f>
        <v>0</v>
      </c>
      <c r="F8" s="132">
        <f>COUNTIF(ZE!$P$4:'ZE'!$P$23,$B8&amp;E$3&amp;F$5)</f>
        <v>0</v>
      </c>
      <c r="G8" s="126">
        <f>COUNTIF(ZE!$P$4:'ZE'!$P$23,$B8&amp;G$3&amp;G$5)</f>
        <v>0</v>
      </c>
      <c r="H8" s="132">
        <f>COUNTIF(ZE!$P$4:'ZE'!$P$23,$B8&amp;G$3&amp;H$5)</f>
        <v>0</v>
      </c>
      <c r="I8" s="126">
        <f>COUNTIF(ZE!$P$4:'ZE'!$P$23,$B8&amp;I$3&amp;I$5)</f>
        <v>0</v>
      </c>
      <c r="J8" s="132">
        <f>COUNTIF(ZE!$P$4:'ZE'!$P$23,$B8&amp;I$3&amp;J$5)</f>
        <v>0</v>
      </c>
      <c r="K8" s="126">
        <f>COUNTIF(ZE!$P$4:'ZE'!$P$23,$B8&amp;K$3&amp;K$5)</f>
        <v>0</v>
      </c>
      <c r="L8" s="132">
        <f>COUNTIF(ZE!$P$4:'ZE'!$P$23,$B8&amp;K$3&amp;L$5)</f>
        <v>0</v>
      </c>
      <c r="M8" s="126">
        <f>COUNTIF(ZE!$P$4:'ZE'!$P$23,$B8&amp;M$3&amp;M$5)</f>
        <v>0</v>
      </c>
      <c r="N8" s="132">
        <f>COUNTIF(ZE!$P$4:'ZE'!$P$23,$B8&amp;M$3&amp;N$5)</f>
        <v>0</v>
      </c>
      <c r="O8" s="126">
        <f>COUNTIF(ZE!$P$4:'ZE'!$P$23,$B8&amp;O$3&amp;O$5)</f>
        <v>0</v>
      </c>
      <c r="P8" s="132">
        <f>COUNTIF(ZE!$P$4:'ZE'!$P$23,$B8&amp;O$3&amp;P$5)</f>
        <v>0</v>
      </c>
      <c r="Q8" s="126">
        <f>COUNTIF(ZE!$P$4:'ZE'!$P$23,$B8&amp;Q$3&amp;Q$5)</f>
        <v>0</v>
      </c>
      <c r="R8" s="132">
        <f>COUNTIF(ZE!$P$4:'ZE'!$P$23,$B8&amp;Q$3&amp;R$5)</f>
        <v>0</v>
      </c>
    </row>
    <row r="9" spans="2:18" x14ac:dyDescent="0.2">
      <c r="B9" s="115" t="str">
        <f>MV!C6</f>
        <v>5.I Kyu</v>
      </c>
      <c r="C9" s="110">
        <f t="shared" si="0"/>
        <v>0</v>
      </c>
      <c r="D9" s="111">
        <f t="shared" si="1"/>
        <v>0</v>
      </c>
      <c r="E9" s="126">
        <f>COUNTIF(ZE!$P$4:'ZE'!$P$23,$B9&amp;E$3&amp;E$5)</f>
        <v>0</v>
      </c>
      <c r="F9" s="132">
        <f>COUNTIF(ZE!$P$4:'ZE'!$P$23,$B9&amp;E$3&amp;F$5)</f>
        <v>0</v>
      </c>
      <c r="G9" s="126">
        <f>COUNTIF(ZE!$P$4:'ZE'!$P$23,$B9&amp;G$3&amp;G$5)</f>
        <v>0</v>
      </c>
      <c r="H9" s="132">
        <f>COUNTIF(ZE!$P$4:'ZE'!$P$23,$B9&amp;G$3&amp;H$5)</f>
        <v>0</v>
      </c>
      <c r="I9" s="126">
        <f>COUNTIF(ZE!$P$4:'ZE'!$P$23,$B9&amp;I$3&amp;I$5)</f>
        <v>0</v>
      </c>
      <c r="J9" s="132">
        <f>COUNTIF(ZE!$P$4:'ZE'!$P$23,$B9&amp;I$3&amp;J$5)</f>
        <v>0</v>
      </c>
      <c r="K9" s="126">
        <f>COUNTIF(ZE!$P$4:'ZE'!$P$23,$B9&amp;K$3&amp;K$5)</f>
        <v>0</v>
      </c>
      <c r="L9" s="132">
        <f>COUNTIF(ZE!$P$4:'ZE'!$P$23,$B9&amp;K$3&amp;L$5)</f>
        <v>0</v>
      </c>
      <c r="M9" s="126">
        <f>COUNTIF(ZE!$P$4:'ZE'!$P$23,$B9&amp;M$3&amp;M$5)</f>
        <v>0</v>
      </c>
      <c r="N9" s="132">
        <f>COUNTIF(ZE!$P$4:'ZE'!$P$23,$B9&amp;M$3&amp;N$5)</f>
        <v>0</v>
      </c>
      <c r="O9" s="126">
        <f>COUNTIF(ZE!$P$4:'ZE'!$P$23,$B9&amp;O$3&amp;O$5)</f>
        <v>0</v>
      </c>
      <c r="P9" s="132">
        <f>COUNTIF(ZE!$P$4:'ZE'!$P$23,$B9&amp;O$3&amp;P$5)</f>
        <v>0</v>
      </c>
      <c r="Q9" s="126">
        <f>COUNTIF(ZE!$P$4:'ZE'!$P$23,$B9&amp;Q$3&amp;Q$5)</f>
        <v>0</v>
      </c>
      <c r="R9" s="132">
        <f>COUNTIF(ZE!$P$4:'ZE'!$P$23,$B9&amp;Q$3&amp;R$5)</f>
        <v>0</v>
      </c>
    </row>
    <row r="10" spans="2:18" x14ac:dyDescent="0.2">
      <c r="B10" s="115" t="str">
        <f>MV!C7</f>
        <v>5.II Kyu</v>
      </c>
      <c r="C10" s="110">
        <f t="shared" si="0"/>
        <v>0</v>
      </c>
      <c r="D10" s="111">
        <f t="shared" si="1"/>
        <v>0</v>
      </c>
      <c r="E10" s="126">
        <f>COUNTIF(ZE!$P$4:'ZE'!$P$23,$B10&amp;E$3&amp;E$5)</f>
        <v>0</v>
      </c>
      <c r="F10" s="132">
        <f>COUNTIF(ZE!$P$4:'ZE'!$P$23,$B10&amp;E$3&amp;F$5)</f>
        <v>0</v>
      </c>
      <c r="G10" s="126">
        <f>COUNTIF(ZE!$P$4:'ZE'!$P$23,$B10&amp;G$3&amp;G$5)</f>
        <v>0</v>
      </c>
      <c r="H10" s="132">
        <f>COUNTIF(ZE!$P$4:'ZE'!$P$23,$B10&amp;G$3&amp;H$5)</f>
        <v>0</v>
      </c>
      <c r="I10" s="126">
        <f>COUNTIF(ZE!$P$4:'ZE'!$P$23,$B10&amp;I$3&amp;I$5)</f>
        <v>0</v>
      </c>
      <c r="J10" s="132">
        <f>COUNTIF(ZE!$P$4:'ZE'!$P$23,$B10&amp;I$3&amp;J$5)</f>
        <v>0</v>
      </c>
      <c r="K10" s="126">
        <f>COUNTIF(ZE!$P$4:'ZE'!$P$23,$B10&amp;K$3&amp;K$5)</f>
        <v>0</v>
      </c>
      <c r="L10" s="132">
        <f>COUNTIF(ZE!$P$4:'ZE'!$P$23,$B10&amp;K$3&amp;L$5)</f>
        <v>0</v>
      </c>
      <c r="M10" s="126">
        <f>COUNTIF(ZE!$P$4:'ZE'!$P$23,$B10&amp;M$3&amp;M$5)</f>
        <v>0</v>
      </c>
      <c r="N10" s="132">
        <f>COUNTIF(ZE!$P$4:'ZE'!$P$23,$B10&amp;M$3&amp;N$5)</f>
        <v>0</v>
      </c>
      <c r="O10" s="126">
        <f>COUNTIF(ZE!$P$4:'ZE'!$P$23,$B10&amp;O$3&amp;O$5)</f>
        <v>0</v>
      </c>
      <c r="P10" s="132">
        <f>COUNTIF(ZE!$P$4:'ZE'!$P$23,$B10&amp;O$3&amp;P$5)</f>
        <v>0</v>
      </c>
      <c r="Q10" s="126">
        <f>COUNTIF(ZE!$P$4:'ZE'!$P$23,$B10&amp;Q$3&amp;Q$5)</f>
        <v>0</v>
      </c>
      <c r="R10" s="132">
        <f>COUNTIF(ZE!$P$4:'ZE'!$P$23,$B10&amp;Q$3&amp;R$5)</f>
        <v>0</v>
      </c>
    </row>
    <row r="11" spans="2:18" x14ac:dyDescent="0.2">
      <c r="B11" s="115" t="str">
        <f>MV!C8</f>
        <v>4. Kyu</v>
      </c>
      <c r="C11" s="110">
        <f t="shared" si="0"/>
        <v>0</v>
      </c>
      <c r="D11" s="111">
        <f t="shared" si="1"/>
        <v>0</v>
      </c>
      <c r="E11" s="126">
        <f>COUNTIF(ZE!$P$4:'ZE'!$P$23,$B11&amp;E$3&amp;E$5)</f>
        <v>0</v>
      </c>
      <c r="F11" s="132">
        <f>COUNTIF(ZE!$P$4:'ZE'!$P$23,$B11&amp;E$3&amp;F$5)</f>
        <v>0</v>
      </c>
      <c r="G11" s="126">
        <f>COUNTIF(ZE!$P$4:'ZE'!$P$23,$B11&amp;G$3&amp;G$5)</f>
        <v>0</v>
      </c>
      <c r="H11" s="132">
        <f>COUNTIF(ZE!$P$4:'ZE'!$P$23,$B11&amp;G$3&amp;H$5)</f>
        <v>0</v>
      </c>
      <c r="I11" s="126">
        <f>COUNTIF(ZE!$P$4:'ZE'!$P$23,$B11&amp;I$3&amp;I$5)</f>
        <v>0</v>
      </c>
      <c r="J11" s="132">
        <f>COUNTIF(ZE!$P$4:'ZE'!$P$23,$B11&amp;I$3&amp;J$5)</f>
        <v>0</v>
      </c>
      <c r="K11" s="126">
        <f>COUNTIF(ZE!$P$4:'ZE'!$P$23,$B11&amp;K$3&amp;K$5)</f>
        <v>0</v>
      </c>
      <c r="L11" s="132">
        <f>COUNTIF(ZE!$P$4:'ZE'!$P$23,$B11&amp;K$3&amp;L$5)</f>
        <v>0</v>
      </c>
      <c r="M11" s="126">
        <f>COUNTIF(ZE!$P$4:'ZE'!$P$23,$B11&amp;M$3&amp;M$5)</f>
        <v>0</v>
      </c>
      <c r="N11" s="132">
        <f>COUNTIF(ZE!$P$4:'ZE'!$P$23,$B11&amp;M$3&amp;N$5)</f>
        <v>0</v>
      </c>
      <c r="O11" s="126">
        <f>COUNTIF(ZE!$P$4:'ZE'!$P$23,$B11&amp;O$3&amp;O$5)</f>
        <v>0</v>
      </c>
      <c r="P11" s="132">
        <f>COUNTIF(ZE!$P$4:'ZE'!$P$23,$B11&amp;O$3&amp;P$5)</f>
        <v>0</v>
      </c>
      <c r="Q11" s="126">
        <f>COUNTIF(ZE!$P$4:'ZE'!$P$23,$B11&amp;Q$3&amp;Q$5)</f>
        <v>0</v>
      </c>
      <c r="R11" s="132">
        <f>COUNTIF(ZE!$P$4:'ZE'!$P$23,$B11&amp;Q$3&amp;R$5)</f>
        <v>0</v>
      </c>
    </row>
    <row r="12" spans="2:18" x14ac:dyDescent="0.2">
      <c r="B12" s="115" t="str">
        <f>MV!C9</f>
        <v>4.I Kyu</v>
      </c>
      <c r="C12" s="110">
        <f t="shared" si="0"/>
        <v>0</v>
      </c>
      <c r="D12" s="111">
        <f t="shared" si="1"/>
        <v>0</v>
      </c>
      <c r="E12" s="126">
        <f>COUNTIF(ZE!$P$4:'ZE'!$P$23,$B12&amp;E$3&amp;E$5)</f>
        <v>0</v>
      </c>
      <c r="F12" s="132">
        <f>COUNTIF(ZE!$P$4:'ZE'!$P$23,$B12&amp;E$3&amp;F$5)</f>
        <v>0</v>
      </c>
      <c r="G12" s="126">
        <f>COUNTIF(ZE!$P$4:'ZE'!$P$23,$B12&amp;G$3&amp;G$5)</f>
        <v>0</v>
      </c>
      <c r="H12" s="132">
        <f>COUNTIF(ZE!$P$4:'ZE'!$P$23,$B12&amp;G$3&amp;H$5)</f>
        <v>0</v>
      </c>
      <c r="I12" s="126">
        <f>COUNTIF(ZE!$P$4:'ZE'!$P$23,$B12&amp;I$3&amp;I$5)</f>
        <v>0</v>
      </c>
      <c r="J12" s="132">
        <f>COUNTIF(ZE!$P$4:'ZE'!$P$23,$B12&amp;I$3&amp;J$5)</f>
        <v>0</v>
      </c>
      <c r="K12" s="126">
        <f>COUNTIF(ZE!$P$4:'ZE'!$P$23,$B12&amp;K$3&amp;K$5)</f>
        <v>0</v>
      </c>
      <c r="L12" s="132">
        <f>COUNTIF(ZE!$P$4:'ZE'!$P$23,$B12&amp;K$3&amp;L$5)</f>
        <v>0</v>
      </c>
      <c r="M12" s="126">
        <f>COUNTIF(ZE!$P$4:'ZE'!$P$23,$B12&amp;M$3&amp;M$5)</f>
        <v>0</v>
      </c>
      <c r="N12" s="132">
        <f>COUNTIF(ZE!$P$4:'ZE'!$P$23,$B12&amp;M$3&amp;N$5)</f>
        <v>0</v>
      </c>
      <c r="O12" s="126">
        <f>COUNTIF(ZE!$P$4:'ZE'!$P$23,$B12&amp;O$3&amp;O$5)</f>
        <v>0</v>
      </c>
      <c r="P12" s="132">
        <f>COUNTIF(ZE!$P$4:'ZE'!$P$23,$B12&amp;O$3&amp;P$5)</f>
        <v>0</v>
      </c>
      <c r="Q12" s="126">
        <f>COUNTIF(ZE!$P$4:'ZE'!$P$23,$B12&amp;Q$3&amp;Q$5)</f>
        <v>0</v>
      </c>
      <c r="R12" s="132">
        <f>COUNTIF(ZE!$P$4:'ZE'!$P$23,$B12&amp;Q$3&amp;R$5)</f>
        <v>0</v>
      </c>
    </row>
    <row r="13" spans="2:18" x14ac:dyDescent="0.2">
      <c r="B13" s="115" t="str">
        <f>MV!C10</f>
        <v>3. Kyu</v>
      </c>
      <c r="C13" s="110">
        <f t="shared" si="0"/>
        <v>0</v>
      </c>
      <c r="D13" s="111">
        <f t="shared" si="1"/>
        <v>0</v>
      </c>
      <c r="E13" s="126">
        <f>COUNTIF(ZE!$P$4:'ZE'!$P$23,$B13&amp;E$3&amp;E$5)</f>
        <v>0</v>
      </c>
      <c r="F13" s="132">
        <f>COUNTIF(ZE!$P$4:'ZE'!$P$23,$B13&amp;E$3&amp;F$5)</f>
        <v>0</v>
      </c>
      <c r="G13" s="126">
        <f>COUNTIF(ZE!$P$4:'ZE'!$P$23,$B13&amp;G$3&amp;G$5)</f>
        <v>0</v>
      </c>
      <c r="H13" s="132">
        <f>COUNTIF(ZE!$P$4:'ZE'!$P$23,$B13&amp;G$3&amp;H$5)</f>
        <v>0</v>
      </c>
      <c r="I13" s="126">
        <f>COUNTIF(ZE!$P$4:'ZE'!$P$23,$B13&amp;I$3&amp;I$5)</f>
        <v>0</v>
      </c>
      <c r="J13" s="132">
        <f>COUNTIF(ZE!$P$4:'ZE'!$P$23,$B13&amp;I$3&amp;J$5)</f>
        <v>0</v>
      </c>
      <c r="K13" s="126">
        <f>COUNTIF(ZE!$P$4:'ZE'!$P$23,$B13&amp;K$3&amp;K$5)</f>
        <v>0</v>
      </c>
      <c r="L13" s="132">
        <f>COUNTIF(ZE!$P$4:'ZE'!$P$23,$B13&amp;K$3&amp;L$5)</f>
        <v>0</v>
      </c>
      <c r="M13" s="126">
        <f>COUNTIF(ZE!$P$4:'ZE'!$P$23,$B13&amp;M$3&amp;M$5)</f>
        <v>0</v>
      </c>
      <c r="N13" s="132">
        <f>COUNTIF(ZE!$P$4:'ZE'!$P$23,$B13&amp;M$3&amp;N$5)</f>
        <v>0</v>
      </c>
      <c r="O13" s="126">
        <f>COUNTIF(ZE!$P$4:'ZE'!$P$23,$B13&amp;O$3&amp;O$5)</f>
        <v>0</v>
      </c>
      <c r="P13" s="132">
        <f>COUNTIF(ZE!$P$4:'ZE'!$P$23,$B13&amp;O$3&amp;P$5)</f>
        <v>0</v>
      </c>
      <c r="Q13" s="126">
        <f>COUNTIF(ZE!$P$4:'ZE'!$P$23,$B13&amp;Q$3&amp;Q$5)</f>
        <v>0</v>
      </c>
      <c r="R13" s="132">
        <f>COUNTIF(ZE!$P$4:'ZE'!$P$23,$B13&amp;Q$3&amp;R$5)</f>
        <v>0</v>
      </c>
    </row>
    <row r="14" spans="2:18" x14ac:dyDescent="0.2">
      <c r="B14" s="115" t="str">
        <f>MV!C11</f>
        <v>3.I Kyu</v>
      </c>
      <c r="C14" s="110">
        <f t="shared" si="0"/>
        <v>0</v>
      </c>
      <c r="D14" s="111">
        <f t="shared" si="1"/>
        <v>0</v>
      </c>
      <c r="E14" s="126">
        <f>COUNTIF(ZE!$P$4:'ZE'!$P$23,$B14&amp;E$3&amp;E$5)</f>
        <v>0</v>
      </c>
      <c r="F14" s="132">
        <f>COUNTIF(ZE!$P$4:'ZE'!$P$23,$B14&amp;E$3&amp;F$5)</f>
        <v>0</v>
      </c>
      <c r="G14" s="126">
        <f>COUNTIF(ZE!$P$4:'ZE'!$P$23,$B14&amp;G$3&amp;G$5)</f>
        <v>0</v>
      </c>
      <c r="H14" s="132">
        <f>COUNTIF(ZE!$P$4:'ZE'!$P$23,$B14&amp;G$3&amp;H$5)</f>
        <v>0</v>
      </c>
      <c r="I14" s="126">
        <f>COUNTIF(ZE!$P$4:'ZE'!$P$23,$B14&amp;I$3&amp;I$5)</f>
        <v>0</v>
      </c>
      <c r="J14" s="132">
        <f>COUNTIF(ZE!$P$4:'ZE'!$P$23,$B14&amp;I$3&amp;J$5)</f>
        <v>0</v>
      </c>
      <c r="K14" s="126">
        <f>COUNTIF(ZE!$P$4:'ZE'!$P$23,$B14&amp;K$3&amp;K$5)</f>
        <v>0</v>
      </c>
      <c r="L14" s="132">
        <f>COUNTIF(ZE!$P$4:'ZE'!$P$23,$B14&amp;K$3&amp;L$5)</f>
        <v>0</v>
      </c>
      <c r="M14" s="126">
        <f>COUNTIF(ZE!$P$4:'ZE'!$P$23,$B14&amp;M$3&amp;M$5)</f>
        <v>0</v>
      </c>
      <c r="N14" s="132">
        <f>COUNTIF(ZE!$P$4:'ZE'!$P$23,$B14&amp;M$3&amp;N$5)</f>
        <v>0</v>
      </c>
      <c r="O14" s="126">
        <f>COUNTIF(ZE!$P$4:'ZE'!$P$23,$B14&amp;O$3&amp;O$5)</f>
        <v>0</v>
      </c>
      <c r="P14" s="132">
        <f>COUNTIF(ZE!$P$4:'ZE'!$P$23,$B14&amp;O$3&amp;P$5)</f>
        <v>0</v>
      </c>
      <c r="Q14" s="126">
        <f>COUNTIF(ZE!$P$4:'ZE'!$P$23,$B14&amp;Q$3&amp;Q$5)</f>
        <v>0</v>
      </c>
      <c r="R14" s="132">
        <f>COUNTIF(ZE!$P$4:'ZE'!$P$23,$B14&amp;Q$3&amp;R$5)</f>
        <v>0</v>
      </c>
    </row>
    <row r="15" spans="2:18" x14ac:dyDescent="0.2">
      <c r="B15" s="115" t="str">
        <f>MV!C12</f>
        <v>2. Kyu</v>
      </c>
      <c r="C15" s="110">
        <f t="shared" si="0"/>
        <v>0</v>
      </c>
      <c r="D15" s="111">
        <f t="shared" si="1"/>
        <v>0</v>
      </c>
      <c r="E15" s="126">
        <f>COUNTIF(ZE!$P$4:'ZE'!$P$23,$B15&amp;E$3&amp;E$5)</f>
        <v>0</v>
      </c>
      <c r="F15" s="132">
        <f>COUNTIF(ZE!$P$4:'ZE'!$P$23,$B15&amp;E$3&amp;F$5)</f>
        <v>0</v>
      </c>
      <c r="G15" s="126">
        <f>COUNTIF(ZE!$P$4:'ZE'!$P$23,$B15&amp;G$3&amp;G$5)</f>
        <v>0</v>
      </c>
      <c r="H15" s="132">
        <f>COUNTIF(ZE!$P$4:'ZE'!$P$23,$B15&amp;G$3&amp;H$5)</f>
        <v>0</v>
      </c>
      <c r="I15" s="126">
        <f>COUNTIF(ZE!$P$4:'ZE'!$P$23,$B15&amp;I$3&amp;I$5)</f>
        <v>0</v>
      </c>
      <c r="J15" s="132">
        <f>COUNTIF(ZE!$P$4:'ZE'!$P$23,$B15&amp;I$3&amp;J$5)</f>
        <v>0</v>
      </c>
      <c r="K15" s="126">
        <f>COUNTIF(ZE!$P$4:'ZE'!$P$23,$B15&amp;K$3&amp;K$5)</f>
        <v>0</v>
      </c>
      <c r="L15" s="132">
        <f>COUNTIF(ZE!$P$4:'ZE'!$P$23,$B15&amp;K$3&amp;L$5)</f>
        <v>0</v>
      </c>
      <c r="M15" s="126">
        <f>COUNTIF(ZE!$P$4:'ZE'!$P$23,$B15&amp;M$3&amp;M$5)</f>
        <v>0</v>
      </c>
      <c r="N15" s="132">
        <f>COUNTIF(ZE!$P$4:'ZE'!$P$23,$B15&amp;M$3&amp;N$5)</f>
        <v>0</v>
      </c>
      <c r="O15" s="126">
        <f>COUNTIF(ZE!$P$4:'ZE'!$P$23,$B15&amp;O$3&amp;O$5)</f>
        <v>0</v>
      </c>
      <c r="P15" s="132">
        <f>COUNTIF(ZE!$P$4:'ZE'!$P$23,$B15&amp;O$3&amp;P$5)</f>
        <v>0</v>
      </c>
      <c r="Q15" s="126">
        <f>COUNTIF(ZE!$P$4:'ZE'!$P$23,$B15&amp;Q$3&amp;Q$5)</f>
        <v>0</v>
      </c>
      <c r="R15" s="132">
        <f>COUNTIF(ZE!$P$4:'ZE'!$P$23,$B15&amp;Q$3&amp;R$5)</f>
        <v>0</v>
      </c>
    </row>
    <row r="16" spans="2:18" x14ac:dyDescent="0.2">
      <c r="B16" s="115" t="str">
        <f>MV!C13</f>
        <v>2.I Kyu</v>
      </c>
      <c r="C16" s="110">
        <f t="shared" si="0"/>
        <v>0</v>
      </c>
      <c r="D16" s="111">
        <f t="shared" si="1"/>
        <v>0</v>
      </c>
      <c r="E16" s="126">
        <f>COUNTIF(ZE!$P$4:'ZE'!$P$23,$B16&amp;E$3&amp;E$5)</f>
        <v>0</v>
      </c>
      <c r="F16" s="132">
        <f>COUNTIF(ZE!$P$4:'ZE'!$P$23,$B16&amp;E$3&amp;F$5)</f>
        <v>0</v>
      </c>
      <c r="G16" s="126">
        <f>COUNTIF(ZE!$P$4:'ZE'!$P$23,$B16&amp;G$3&amp;G$5)</f>
        <v>0</v>
      </c>
      <c r="H16" s="132">
        <f>COUNTIF(ZE!$P$4:'ZE'!$P$23,$B16&amp;G$3&amp;H$5)</f>
        <v>0</v>
      </c>
      <c r="I16" s="126">
        <f>COUNTIF(ZE!$P$4:'ZE'!$P$23,$B16&amp;I$3&amp;I$5)</f>
        <v>0</v>
      </c>
      <c r="J16" s="132">
        <f>COUNTIF(ZE!$P$4:'ZE'!$P$23,$B16&amp;I$3&amp;J$5)</f>
        <v>0</v>
      </c>
      <c r="K16" s="126">
        <f>COUNTIF(ZE!$P$4:'ZE'!$P$23,$B16&amp;K$3&amp;K$5)</f>
        <v>0</v>
      </c>
      <c r="L16" s="132">
        <f>COUNTIF(ZE!$P$4:'ZE'!$P$23,$B16&amp;K$3&amp;L$5)</f>
        <v>0</v>
      </c>
      <c r="M16" s="126">
        <f>COUNTIF(ZE!$P$4:'ZE'!$P$23,$B16&amp;M$3&amp;M$5)</f>
        <v>0</v>
      </c>
      <c r="N16" s="132">
        <f>COUNTIF(ZE!$P$4:'ZE'!$P$23,$B16&amp;M$3&amp;N$5)</f>
        <v>0</v>
      </c>
      <c r="O16" s="126">
        <f>COUNTIF(ZE!$P$4:'ZE'!$P$23,$B16&amp;O$3&amp;O$5)</f>
        <v>0</v>
      </c>
      <c r="P16" s="132">
        <f>COUNTIF(ZE!$P$4:'ZE'!$P$23,$B16&amp;O$3&amp;P$5)</f>
        <v>0</v>
      </c>
      <c r="Q16" s="126">
        <f>COUNTIF(ZE!$P$4:'ZE'!$P$23,$B16&amp;Q$3&amp;Q$5)</f>
        <v>0</v>
      </c>
      <c r="R16" s="132">
        <f>COUNTIF(ZE!$P$4:'ZE'!$P$23,$B16&amp;Q$3&amp;R$5)</f>
        <v>0</v>
      </c>
    </row>
    <row r="17" spans="2:18" ht="13.5" thickBot="1" x14ac:dyDescent="0.25">
      <c r="B17" s="120" t="str">
        <f>MV!C14</f>
        <v>1. Kyu</v>
      </c>
      <c r="C17" s="112">
        <f t="shared" si="0"/>
        <v>0</v>
      </c>
      <c r="D17" s="113">
        <f t="shared" si="1"/>
        <v>0</v>
      </c>
      <c r="E17" s="127">
        <f>COUNTIF(ZE!$P$4:'ZE'!$P$23,$B17&amp;E$3&amp;E$5)</f>
        <v>0</v>
      </c>
      <c r="F17" s="133">
        <f>COUNTIF(ZE!$P$4:'ZE'!$P$23,$B17&amp;E$3&amp;F$5)</f>
        <v>0</v>
      </c>
      <c r="G17" s="127">
        <f>COUNTIF(ZE!$P$4:'ZE'!$P$23,$B17&amp;G$3&amp;G$5)</f>
        <v>0</v>
      </c>
      <c r="H17" s="133">
        <f>COUNTIF(ZE!$P$4:'ZE'!$P$23,$B17&amp;G$3&amp;H$5)</f>
        <v>0</v>
      </c>
      <c r="I17" s="127">
        <f>COUNTIF(ZE!$P$4:'ZE'!$P$23,$B17&amp;I$3&amp;I$5)</f>
        <v>0</v>
      </c>
      <c r="J17" s="133">
        <f>COUNTIF(ZE!$P$4:'ZE'!$P$23,$B17&amp;I$3&amp;J$5)</f>
        <v>0</v>
      </c>
      <c r="K17" s="127">
        <f>COUNTIF(ZE!$P$4:'ZE'!$P$23,$B17&amp;K$3&amp;K$5)</f>
        <v>0</v>
      </c>
      <c r="L17" s="133">
        <f>COUNTIF(ZE!$P$4:'ZE'!$P$23,$B17&amp;K$3&amp;L$5)</f>
        <v>0</v>
      </c>
      <c r="M17" s="127">
        <f>COUNTIF(ZE!$P$4:'ZE'!$P$23,$B17&amp;M$3&amp;M$5)</f>
        <v>0</v>
      </c>
      <c r="N17" s="133">
        <f>COUNTIF(ZE!$P$4:'ZE'!$P$23,$B17&amp;M$3&amp;N$5)</f>
        <v>0</v>
      </c>
      <c r="O17" s="127">
        <f>COUNTIF(ZE!$P$4:'ZE'!$P$23,$B17&amp;O$3&amp;O$5)</f>
        <v>0</v>
      </c>
      <c r="P17" s="133">
        <f>COUNTIF(ZE!$P$4:'ZE'!$P$23,$B17&amp;O$3&amp;P$5)</f>
        <v>0</v>
      </c>
      <c r="Q17" s="127">
        <f>COUNTIF(ZE!$P$4:'ZE'!$P$23,$B17&amp;Q$3&amp;Q$5)</f>
        <v>0</v>
      </c>
      <c r="R17" s="133">
        <f>COUNTIF(ZE!$P$4:'ZE'!$P$23,$B17&amp;Q$3&amp;R$5)</f>
        <v>0</v>
      </c>
    </row>
    <row r="18" spans="2:18" x14ac:dyDescent="0.2">
      <c r="B18" s="114" t="str">
        <f>MV!C15</f>
        <v>1. Dan</v>
      </c>
      <c r="C18" s="123">
        <f t="shared" si="0"/>
        <v>0</v>
      </c>
      <c r="D18" s="121">
        <f t="shared" si="1"/>
        <v>0</v>
      </c>
      <c r="E18" s="128">
        <f>COUNTIF(ZE!$P$4:'ZE'!$P$23,$B18&amp;E$3&amp;E$5)</f>
        <v>0</v>
      </c>
      <c r="F18" s="131">
        <f>COUNTIF(ZE!$P$4:'ZE'!$P$23,$B18&amp;E$3&amp;F$5)</f>
        <v>0</v>
      </c>
      <c r="G18" s="128">
        <f>COUNTIF(ZE!$P$4:'ZE'!$P$23,$B18&amp;G$3&amp;G$5)</f>
        <v>0</v>
      </c>
      <c r="H18" s="131">
        <f>COUNTIF(ZE!$P$4:'ZE'!$P$23,$B18&amp;G$3&amp;H$5)</f>
        <v>0</v>
      </c>
      <c r="I18" s="128">
        <f>COUNTIF(ZE!$P$4:'ZE'!$P$23,$B18&amp;I$3&amp;I$5)</f>
        <v>0</v>
      </c>
      <c r="J18" s="131">
        <f>COUNTIF(ZE!$P$4:'ZE'!$P$23,$B18&amp;I$3&amp;J$5)</f>
        <v>0</v>
      </c>
      <c r="K18" s="128">
        <f>COUNTIF(ZE!$P$4:'ZE'!$P$23,$B18&amp;K$3&amp;K$5)</f>
        <v>0</v>
      </c>
      <c r="L18" s="131">
        <f>COUNTIF(ZE!$P$4:'ZE'!$P$23,$B18&amp;K$3&amp;L$5)</f>
        <v>0</v>
      </c>
      <c r="M18" s="128">
        <f>COUNTIF(ZE!$P$4:'ZE'!$P$23,$B18&amp;M$3&amp;M$5)</f>
        <v>0</v>
      </c>
      <c r="N18" s="131">
        <f>COUNTIF(ZE!$P$4:'ZE'!$P$23,$B18&amp;M$3&amp;N$5)</f>
        <v>0</v>
      </c>
      <c r="O18" s="128">
        <f>COUNTIF(ZE!$P$4:'ZE'!$P$23,$B18&amp;O$3&amp;O$5)</f>
        <v>0</v>
      </c>
      <c r="P18" s="131">
        <f>COUNTIF(ZE!$P$4:'ZE'!$P$23,$B18&amp;O$3&amp;P$5)</f>
        <v>0</v>
      </c>
      <c r="Q18" s="128">
        <f>COUNTIF(ZE!$P$4:'ZE'!$P$23,$B18&amp;Q$3&amp;Q$5)</f>
        <v>0</v>
      </c>
      <c r="R18" s="131">
        <f>COUNTIF(ZE!$P$4:'ZE'!$P$23,$B18&amp;Q$3&amp;R$5)</f>
        <v>0</v>
      </c>
    </row>
    <row r="19" spans="2:18" x14ac:dyDescent="0.2">
      <c r="B19" s="115" t="str">
        <f>MV!C16</f>
        <v>2. Dan</v>
      </c>
      <c r="C19" s="110">
        <f t="shared" si="0"/>
        <v>0</v>
      </c>
      <c r="D19" s="111">
        <f t="shared" si="1"/>
        <v>0</v>
      </c>
      <c r="E19" s="126">
        <f>COUNTIF(ZE!$P$4:'ZE'!$P$23,$B19&amp;E$3&amp;E$5)</f>
        <v>0</v>
      </c>
      <c r="F19" s="132">
        <f>COUNTIF(ZE!$P$4:'ZE'!$P$23,$B19&amp;E$3&amp;F$5)</f>
        <v>0</v>
      </c>
      <c r="G19" s="126">
        <f>COUNTIF(ZE!$P$4:'ZE'!$P$23,$B19&amp;G$3&amp;G$5)</f>
        <v>0</v>
      </c>
      <c r="H19" s="132">
        <f>COUNTIF(ZE!$P$4:'ZE'!$P$23,$B19&amp;G$3&amp;H$5)</f>
        <v>0</v>
      </c>
      <c r="I19" s="126">
        <f>COUNTIF(ZE!$P$4:'ZE'!$P$23,$B19&amp;I$3&amp;I$5)</f>
        <v>0</v>
      </c>
      <c r="J19" s="132">
        <f>COUNTIF(ZE!$P$4:'ZE'!$P$23,$B19&amp;I$3&amp;J$5)</f>
        <v>0</v>
      </c>
      <c r="K19" s="126">
        <f>COUNTIF(ZE!$P$4:'ZE'!$P$23,$B19&amp;K$3&amp;K$5)</f>
        <v>0</v>
      </c>
      <c r="L19" s="132">
        <f>COUNTIF(ZE!$P$4:'ZE'!$P$23,$B19&amp;K$3&amp;L$5)</f>
        <v>0</v>
      </c>
      <c r="M19" s="126">
        <f>COUNTIF(ZE!$P$4:'ZE'!$P$23,$B19&amp;M$3&amp;M$5)</f>
        <v>0</v>
      </c>
      <c r="N19" s="132">
        <f>COUNTIF(ZE!$P$4:'ZE'!$P$23,$B19&amp;M$3&amp;N$5)</f>
        <v>0</v>
      </c>
      <c r="O19" s="126">
        <f>COUNTIF(ZE!$P$4:'ZE'!$P$23,$B19&amp;O$3&amp;O$5)</f>
        <v>0</v>
      </c>
      <c r="P19" s="132">
        <f>COUNTIF(ZE!$P$4:'ZE'!$P$23,$B19&amp;O$3&amp;P$5)</f>
        <v>0</v>
      </c>
      <c r="Q19" s="126">
        <f>COUNTIF(ZE!$P$4:'ZE'!$P$23,$B19&amp;Q$3&amp;Q$5)</f>
        <v>0</v>
      </c>
      <c r="R19" s="132">
        <f>COUNTIF(ZE!$P$4:'ZE'!$P$23,$B19&amp;Q$3&amp;R$5)</f>
        <v>0</v>
      </c>
    </row>
    <row r="20" spans="2:18" x14ac:dyDescent="0.2">
      <c r="B20" s="115" t="str">
        <f>MV!C17</f>
        <v>3. Dan</v>
      </c>
      <c r="C20" s="110">
        <f t="shared" si="0"/>
        <v>0</v>
      </c>
      <c r="D20" s="111">
        <f t="shared" si="1"/>
        <v>0</v>
      </c>
      <c r="E20" s="126">
        <f>COUNTIF(ZE!$P$4:'ZE'!$P$23,$B20&amp;E$3&amp;E$5)</f>
        <v>0</v>
      </c>
      <c r="F20" s="132">
        <f>COUNTIF(ZE!$P$4:'ZE'!$P$23,$B20&amp;E$3&amp;F$5)</f>
        <v>0</v>
      </c>
      <c r="G20" s="126">
        <f>COUNTIF(ZE!$P$4:'ZE'!$P$23,$B20&amp;G$3&amp;G$5)</f>
        <v>0</v>
      </c>
      <c r="H20" s="132">
        <f>COUNTIF(ZE!$P$4:'ZE'!$P$23,$B20&amp;G$3&amp;H$5)</f>
        <v>0</v>
      </c>
      <c r="I20" s="126">
        <f>COUNTIF(ZE!$P$4:'ZE'!$P$23,$B20&amp;I$3&amp;I$5)</f>
        <v>0</v>
      </c>
      <c r="J20" s="132">
        <f>COUNTIF(ZE!$P$4:'ZE'!$P$23,$B20&amp;I$3&amp;J$5)</f>
        <v>0</v>
      </c>
      <c r="K20" s="126">
        <f>COUNTIF(ZE!$P$4:'ZE'!$P$23,$B20&amp;K$3&amp;K$5)</f>
        <v>0</v>
      </c>
      <c r="L20" s="132">
        <f>COUNTIF(ZE!$P$4:'ZE'!$P$23,$B20&amp;K$3&amp;L$5)</f>
        <v>0</v>
      </c>
      <c r="M20" s="126">
        <f>COUNTIF(ZE!$P$4:'ZE'!$P$23,$B20&amp;M$3&amp;M$5)</f>
        <v>0</v>
      </c>
      <c r="N20" s="132">
        <f>COUNTIF(ZE!$P$4:'ZE'!$P$23,$B20&amp;M$3&amp;N$5)</f>
        <v>0</v>
      </c>
      <c r="O20" s="126">
        <f>COUNTIF(ZE!$P$4:'ZE'!$P$23,$B20&amp;O$3&amp;O$5)</f>
        <v>0</v>
      </c>
      <c r="P20" s="132">
        <f>COUNTIF(ZE!$P$4:'ZE'!$P$23,$B20&amp;O$3&amp;P$5)</f>
        <v>0</v>
      </c>
      <c r="Q20" s="126">
        <f>COUNTIF(ZE!$P$4:'ZE'!$P$23,$B20&amp;Q$3&amp;Q$5)</f>
        <v>0</v>
      </c>
      <c r="R20" s="132">
        <f>COUNTIF(ZE!$P$4:'ZE'!$P$23,$B20&amp;Q$3&amp;R$5)</f>
        <v>0</v>
      </c>
    </row>
    <row r="21" spans="2:18" x14ac:dyDescent="0.2">
      <c r="B21" s="115" t="str">
        <f>MV!C18</f>
        <v>4. Dan</v>
      </c>
      <c r="C21" s="110">
        <f t="shared" si="0"/>
        <v>0</v>
      </c>
      <c r="D21" s="111">
        <f t="shared" si="1"/>
        <v>0</v>
      </c>
      <c r="E21" s="126">
        <f>COUNTIF(ZE!$P$4:'ZE'!$P$23,$B21&amp;E$3&amp;E$5)</f>
        <v>0</v>
      </c>
      <c r="F21" s="132">
        <f>COUNTIF(ZE!$P$4:'ZE'!$P$23,$B21&amp;E$3&amp;F$5)</f>
        <v>0</v>
      </c>
      <c r="G21" s="126">
        <f>COUNTIF(ZE!$P$4:'ZE'!$P$23,$B21&amp;G$3&amp;G$5)</f>
        <v>0</v>
      </c>
      <c r="H21" s="132">
        <f>COUNTIF(ZE!$P$4:'ZE'!$P$23,$B21&amp;G$3&amp;H$5)</f>
        <v>0</v>
      </c>
      <c r="I21" s="126">
        <f>COUNTIF(ZE!$P$4:'ZE'!$P$23,$B21&amp;I$3&amp;I$5)</f>
        <v>0</v>
      </c>
      <c r="J21" s="132">
        <f>COUNTIF(ZE!$P$4:'ZE'!$P$23,$B21&amp;I$3&amp;J$5)</f>
        <v>0</v>
      </c>
      <c r="K21" s="126">
        <f>COUNTIF(ZE!$P$4:'ZE'!$P$23,$B21&amp;K$3&amp;K$5)</f>
        <v>0</v>
      </c>
      <c r="L21" s="132">
        <f>COUNTIF(ZE!$P$4:'ZE'!$P$23,$B21&amp;K$3&amp;L$5)</f>
        <v>0</v>
      </c>
      <c r="M21" s="126">
        <f>COUNTIF(ZE!$P$4:'ZE'!$P$23,$B21&amp;M$3&amp;M$5)</f>
        <v>0</v>
      </c>
      <c r="N21" s="132">
        <f>COUNTIF(ZE!$P$4:'ZE'!$P$23,$B21&amp;M$3&amp;N$5)</f>
        <v>0</v>
      </c>
      <c r="O21" s="126">
        <f>COUNTIF(ZE!$P$4:'ZE'!$P$23,$B21&amp;O$3&amp;O$5)</f>
        <v>0</v>
      </c>
      <c r="P21" s="132">
        <f>COUNTIF(ZE!$P$4:'ZE'!$P$23,$B21&amp;O$3&amp;P$5)</f>
        <v>0</v>
      </c>
      <c r="Q21" s="126">
        <f>COUNTIF(ZE!$P$4:'ZE'!$P$23,$B21&amp;Q$3&amp;Q$5)</f>
        <v>0</v>
      </c>
      <c r="R21" s="132">
        <f>COUNTIF(ZE!$P$4:'ZE'!$P$23,$B21&amp;Q$3&amp;R$5)</f>
        <v>0</v>
      </c>
    </row>
    <row r="22" spans="2:18" ht="13.5" thickBot="1" x14ac:dyDescent="0.25">
      <c r="B22" s="116" t="str">
        <f>MV!C19</f>
        <v>5. Dan</v>
      </c>
      <c r="C22" s="124">
        <f t="shared" si="0"/>
        <v>0</v>
      </c>
      <c r="D22" s="122">
        <f t="shared" si="1"/>
        <v>0</v>
      </c>
      <c r="E22" s="129">
        <f>COUNTIF(ZE!$P$4:'ZE'!$P$23,$B22&amp;E$3&amp;E$5)</f>
        <v>0</v>
      </c>
      <c r="F22" s="134">
        <f>COUNTIF(ZE!$P$4:'ZE'!$P$23,$B22&amp;E$3&amp;F$5)</f>
        <v>0</v>
      </c>
      <c r="G22" s="129">
        <f>COUNTIF(ZE!$P$4:'ZE'!$P$23,$B22&amp;G$3&amp;G$5)</f>
        <v>0</v>
      </c>
      <c r="H22" s="134">
        <f>COUNTIF(ZE!$P$4:'ZE'!$P$23,$B22&amp;G$3&amp;H$5)</f>
        <v>0</v>
      </c>
      <c r="I22" s="129">
        <f>COUNTIF(ZE!$P$4:'ZE'!$P$23,$B22&amp;I$3&amp;I$5)</f>
        <v>0</v>
      </c>
      <c r="J22" s="134">
        <f>COUNTIF(ZE!$P$4:'ZE'!$P$23,$B22&amp;I$3&amp;J$5)</f>
        <v>0</v>
      </c>
      <c r="K22" s="129">
        <f>COUNTIF(ZE!$P$4:'ZE'!$P$23,$B22&amp;K$3&amp;K$5)</f>
        <v>0</v>
      </c>
      <c r="L22" s="134">
        <f>COUNTIF(ZE!$P$4:'ZE'!$P$23,$B22&amp;K$3&amp;L$5)</f>
        <v>0</v>
      </c>
      <c r="M22" s="129">
        <f>COUNTIF(ZE!$P$4:'ZE'!$P$23,$B22&amp;M$3&amp;M$5)</f>
        <v>0</v>
      </c>
      <c r="N22" s="134">
        <f>COUNTIF(ZE!$P$4:'ZE'!$P$23,$B22&amp;M$3&amp;N$5)</f>
        <v>0</v>
      </c>
      <c r="O22" s="129">
        <f>COUNTIF(ZE!$P$4:'ZE'!$P$23,$B22&amp;O$3&amp;O$5)</f>
        <v>0</v>
      </c>
      <c r="P22" s="134">
        <f>COUNTIF(ZE!$P$4:'ZE'!$P$23,$B22&amp;O$3&amp;P$5)</f>
        <v>0</v>
      </c>
      <c r="Q22" s="129">
        <f>COUNTIF(ZE!$P$4:'ZE'!$P$23,$B22&amp;Q$3&amp;Q$5)</f>
        <v>0</v>
      </c>
      <c r="R22" s="134">
        <f>COUNTIF(ZE!$P$4:'ZE'!$P$23,$B22&amp;Q$3&amp;R$5)</f>
        <v>0</v>
      </c>
    </row>
    <row r="23" spans="2:18" ht="13.5" thickBot="1" x14ac:dyDescent="0.25">
      <c r="C23" s="108">
        <f>SUM(C6:C22)</f>
        <v>0</v>
      </c>
      <c r="D23" s="109">
        <f t="shared" ref="D23:R23" si="2">SUM(D6:D22)</f>
        <v>0</v>
      </c>
      <c r="E23" s="130">
        <f t="shared" si="2"/>
        <v>0</v>
      </c>
      <c r="F23" s="135">
        <f t="shared" si="2"/>
        <v>0</v>
      </c>
      <c r="G23" s="130">
        <f t="shared" si="2"/>
        <v>0</v>
      </c>
      <c r="H23" s="135">
        <f t="shared" si="2"/>
        <v>0</v>
      </c>
      <c r="I23" s="130">
        <f t="shared" si="2"/>
        <v>0</v>
      </c>
      <c r="J23" s="135">
        <f t="shared" si="2"/>
        <v>0</v>
      </c>
      <c r="K23" s="130">
        <f t="shared" si="2"/>
        <v>0</v>
      </c>
      <c r="L23" s="135">
        <f t="shared" si="2"/>
        <v>0</v>
      </c>
      <c r="M23" s="130">
        <f t="shared" si="2"/>
        <v>0</v>
      </c>
      <c r="N23" s="135">
        <f t="shared" si="2"/>
        <v>0</v>
      </c>
      <c r="O23" s="130">
        <f t="shared" si="2"/>
        <v>0</v>
      </c>
      <c r="P23" s="135">
        <f t="shared" si="2"/>
        <v>0</v>
      </c>
      <c r="Q23" s="130">
        <f t="shared" si="2"/>
        <v>0</v>
      </c>
      <c r="R23" s="135">
        <f t="shared" si="2"/>
        <v>0</v>
      </c>
    </row>
  </sheetData>
  <sheetProtection sheet="1"/>
  <mergeCells count="17">
    <mergeCell ref="C3:D3"/>
    <mergeCell ref="Q3:R3"/>
    <mergeCell ref="E3:F3"/>
    <mergeCell ref="G3:H3"/>
    <mergeCell ref="I3:J3"/>
    <mergeCell ref="K3:L3"/>
    <mergeCell ref="M3:N3"/>
    <mergeCell ref="C4:D4"/>
    <mergeCell ref="E4:F4"/>
    <mergeCell ref="G4:H4"/>
    <mergeCell ref="I4:J4"/>
    <mergeCell ref="K4:L4"/>
    <mergeCell ref="O3:P3"/>
    <mergeCell ref="O4:P4"/>
    <mergeCell ref="Q4:R4"/>
    <mergeCell ref="E2:R2"/>
    <mergeCell ref="M4:N4"/>
  </mergeCells>
  <conditionalFormatting sqref="C6:R23">
    <cfRule type="cellIs" dxfId="9" priority="2" stopIfTrue="1" operator="equal">
      <formula>0</formula>
    </cfRule>
  </conditionalFormatting>
  <conditionalFormatting sqref="D6:D23 F6:F23 H6:H23 J6:J23 L6:L23 N6:N23 P6:P23 R6:R23">
    <cfRule type="cellIs" dxfId="8" priority="1" stopIfTrue="1" operator="greaterThan">
      <formula>0</formula>
    </cfRule>
  </conditionalFormatting>
  <pageMargins left="0.59055118110236227" right="0.59055118110236227" top="0.39370078740157483" bottom="0.39370078740157483" header="0.51181102362204722" footer="0.51181102362204722"/>
  <pageSetup paperSize="9" orientation="landscape"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B2:M13"/>
  <sheetViews>
    <sheetView workbookViewId="0">
      <selection activeCell="C4" sqref="C4"/>
    </sheetView>
  </sheetViews>
  <sheetFormatPr baseColWidth="10" defaultRowHeight="12.75" x14ac:dyDescent="0.2"/>
  <cols>
    <col min="1" max="1" width="2.85546875" customWidth="1"/>
    <col min="2" max="2" width="29.7109375" customWidth="1"/>
    <col min="3" max="3" width="4.28515625" customWidth="1"/>
    <col min="4" max="4" width="1.140625" customWidth="1"/>
    <col min="9" max="9" width="7.28515625" customWidth="1"/>
  </cols>
  <sheetData>
    <row r="2" spans="2:13" ht="153" customHeight="1" x14ac:dyDescent="0.2">
      <c r="B2" s="196" t="s">
        <v>189</v>
      </c>
      <c r="C2" s="196"/>
      <c r="D2" s="196"/>
      <c r="E2" s="196"/>
      <c r="F2" s="196"/>
      <c r="G2" s="196"/>
      <c r="H2" s="196"/>
      <c r="I2" s="13"/>
      <c r="J2" s="13"/>
      <c r="K2" s="13"/>
      <c r="L2" s="13"/>
      <c r="M2" s="13"/>
    </row>
    <row r="4" spans="2:13" ht="12.75" customHeight="1" x14ac:dyDescent="0.2">
      <c r="B4" s="91" t="s">
        <v>188</v>
      </c>
      <c r="C4" s="145"/>
      <c r="E4" s="140" t="str">
        <f ca="1">IF(C$4&lt;&gt;"",
IF(OR(INDIRECT("prüfungsliste!g"&amp;TEXT(C$4+3,"#"))="", INDIRECT("prüfungsliste!b"&amp;TEXT(C$4+3,"#"))=""),"Fehler.",
IF(INDIRECT("ZE!Q"&amp;TEXT(C$4+3,"#"))&lt;&gt;"K","Fehler.",
IF(INDIRECT("ZE!Z"&amp;TEXT(C$4+3,"#"))&lt;&gt;TRUE,"Fehler.",
IF(Außenseite!S18="","Fehler.","Ok.")))),"")</f>
        <v/>
      </c>
      <c r="F4" s="197" t="str">
        <f ca="1">IF($C$4&lt;&gt;"",
IF(OR(INDIRECT("ZE!Y"&amp;TEXT($C$4+3,"#"))="", INDIRECT("prüfungsliste!g"&amp;TEXT(C$4+3,"#"))=""),"In Zeile "&amp;TEXT($C$4,"#") &amp; " fehlt Name oder angestrebte Graduierung.",
IF(INDIRECT("ZE!Q"&amp;TEXT($C$4+3,"#"))&lt;&gt;"K","Für " &amp; INDIRECT("ZE!Y"&amp;TEXT($C$4+3,"#")) &amp; " in Zeile "&amp;TEXT($C$4,"#") &amp; IF(INDIRECT("ZE!Q"&amp;TEXT($C$4+3,"#"))="J", " muss eine Jugendurkunde mit Hilfe des Arbeitsblattes ""Jugendurkunde"" ausgestellt werden."," muss eine Danurkunde mit Hilfe des Arbeitsblattes ""Danurkunde"" ausgestellt werden."),
IF(INDIRECT("ZE!Z"&amp;TEXT($C$4+3,"#"))=FALSE,INDIRECT("ZE!Y"&amp;TEXT($C$4+3,"#")) &amp; " in Zeile "&amp;TEXT($C$4,"#") &amp; " hat nicht bestanden und kann deshalb keine Urkunde erhalten.",
IF(Außenseite!S18="","Der Ort der Prüfung muss auf der Außenseite eingetragen werden, damit gedruckt werden kann.","Papier/Urkunde in den Drucker einlegen und mit Excel drucken (&lt;STRG-P&gt;).")))),"")</f>
        <v/>
      </c>
      <c r="G4" s="197"/>
      <c r="H4" s="197"/>
      <c r="I4" s="144"/>
      <c r="J4" s="144"/>
      <c r="K4" s="144"/>
      <c r="L4" s="144"/>
      <c r="M4" s="144"/>
    </row>
    <row r="5" spans="2:13" ht="39.75" customHeight="1" x14ac:dyDescent="0.2">
      <c r="F5" s="197"/>
      <c r="G5" s="197"/>
      <c r="H5" s="197"/>
    </row>
    <row r="6" spans="2:13" ht="212.25" customHeight="1" x14ac:dyDescent="0.2"/>
    <row r="7" spans="2:13" ht="58.5" customHeight="1" x14ac:dyDescent="0.45">
      <c r="C7" s="198" t="str">
        <f ca="1">IF($E$4="Ok.",INDIRECT("ZE!Y"&amp;TEXT($C$4+3,"#")),"")</f>
        <v/>
      </c>
      <c r="D7" s="198"/>
      <c r="E7" s="198"/>
      <c r="F7" s="198"/>
      <c r="G7" s="198"/>
      <c r="H7" s="198"/>
      <c r="I7" s="198"/>
    </row>
    <row r="8" spans="2:13" ht="78" customHeight="1" x14ac:dyDescent="0.35">
      <c r="D8" s="143"/>
      <c r="E8" s="218" t="str">
        <f ca="1">IF($E$4="Ok.",Außenseite!$P$14,"")</f>
        <v/>
      </c>
      <c r="F8" s="218"/>
      <c r="G8" s="218"/>
      <c r="H8" s="218"/>
      <c r="I8" s="142"/>
    </row>
    <row r="9" spans="2:13" ht="29.25" customHeight="1" x14ac:dyDescent="0.35">
      <c r="D9" s="194" t="str">
        <f ca="1">IF($E$4="Ok.",Außenseite!$S$18,"")</f>
        <v/>
      </c>
      <c r="E9" s="194"/>
      <c r="F9" s="194"/>
      <c r="G9" s="194"/>
      <c r="H9" s="194"/>
      <c r="I9" s="194"/>
    </row>
    <row r="10" spans="2:13" ht="31.5" customHeight="1" x14ac:dyDescent="0.45">
      <c r="E10" s="198" t="str">
        <f ca="1">IF($E$4="Ok.",VLOOKUP(INDIRECT("Prüfungsliste!G" &amp; TEXT($C$4+3,"#")),nst,31,FALSE),"")</f>
        <v/>
      </c>
      <c r="F10" s="198"/>
    </row>
    <row r="11" spans="2:13" ht="59.25" customHeight="1" x14ac:dyDescent="0.35">
      <c r="D11" s="194" t="str">
        <f ca="1">IF($E$4="Ok.",VLOOKUP(INDIRECT("Prüfungsliste!G" &amp; TEXT($C$4+3,"#")),nst,32,FALSE),"")</f>
        <v/>
      </c>
      <c r="E11" s="194"/>
      <c r="F11" s="194"/>
      <c r="G11" s="194"/>
      <c r="H11" s="194"/>
      <c r="I11" s="141"/>
    </row>
    <row r="12" spans="2:13" ht="30" customHeight="1" x14ac:dyDescent="0.35">
      <c r="D12" s="141"/>
      <c r="E12" s="199"/>
      <c r="F12" s="199"/>
      <c r="G12" s="199"/>
      <c r="H12" s="199"/>
      <c r="I12" s="141"/>
    </row>
    <row r="13" spans="2:13" ht="201.75" customHeight="1" x14ac:dyDescent="0.2">
      <c r="C13" s="155" t="str">
        <f ca="1">IF($E$4="Ok.",
IF(Außenseite!$S$23 &lt;&gt; "", Außenseite!$S$23 &amp; ", " &amp; TEXT(Außenseite!$Y$23, "#") &amp; ". Dan" &amp;
IF(Außenseite!$S$25 &lt;&gt; "", CHAR(10) &amp; Außenseite!$S$25 &amp; ", " &amp; TEXT(Außenseite!$Y$25, "#") &amp; ". Dan" &amp;
IF(Außenseite!$S$27 &lt;&gt; "", CHAR(10) &amp; Außenseite!$S$27 &amp; ", " &amp; TEXT(Außenseite!$Y$27, "#") &amp; ". Dan", ""), ""),""),"")</f>
        <v/>
      </c>
      <c r="D13" s="155"/>
      <c r="E13" s="155"/>
      <c r="F13" s="155"/>
      <c r="G13" s="155"/>
      <c r="H13" s="155"/>
      <c r="I13" s="155"/>
    </row>
  </sheetData>
  <sheetProtection sheet="1" objects="1" scenarios="1" formatColumns="0" formatRows="0" selectLockedCells="1"/>
  <mergeCells count="9">
    <mergeCell ref="D9:I9"/>
    <mergeCell ref="C13:I13"/>
    <mergeCell ref="D11:H11"/>
    <mergeCell ref="E12:H12"/>
    <mergeCell ref="B2:H2"/>
    <mergeCell ref="F4:H5"/>
    <mergeCell ref="E8:H8"/>
    <mergeCell ref="E10:F10"/>
    <mergeCell ref="C7:I7"/>
  </mergeCells>
  <conditionalFormatting sqref="E4:F4">
    <cfRule type="expression" dxfId="7" priority="1" stopIfTrue="1">
      <formula>$E$4="Fehler."</formula>
    </cfRule>
    <cfRule type="expression" dxfId="6" priority="2" stopIfTrue="1">
      <formula>$E$4="Ok."</formula>
    </cfRule>
  </conditionalFormatting>
  <pageMargins left="0.7" right="0.7" top="0.78740157499999996" bottom="0.78740157499999996" header="0.3" footer="0.3"/>
  <pageSetup paperSize="9"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B2:M13"/>
  <sheetViews>
    <sheetView workbookViewId="0">
      <selection activeCell="C4" sqref="C4"/>
    </sheetView>
  </sheetViews>
  <sheetFormatPr baseColWidth="10" defaultRowHeight="12.75" x14ac:dyDescent="0.2"/>
  <cols>
    <col min="1" max="1" width="2.85546875" customWidth="1"/>
    <col min="2" max="2" width="29.7109375" customWidth="1"/>
    <col min="3" max="3" width="4.28515625" customWidth="1"/>
    <col min="4" max="4" width="1.140625" customWidth="1"/>
    <col min="9" max="9" width="7" customWidth="1"/>
  </cols>
  <sheetData>
    <row r="2" spans="2:13" ht="153" customHeight="1" x14ac:dyDescent="0.2">
      <c r="B2" s="196" t="s">
        <v>187</v>
      </c>
      <c r="C2" s="196"/>
      <c r="D2" s="196"/>
      <c r="E2" s="196"/>
      <c r="F2" s="196"/>
      <c r="G2" s="196"/>
      <c r="H2" s="196"/>
      <c r="I2" s="13"/>
      <c r="J2" s="13"/>
      <c r="K2" s="13"/>
      <c r="L2" s="13"/>
      <c r="M2" s="13"/>
    </row>
    <row r="4" spans="2:13" ht="12.75" customHeight="1" x14ac:dyDescent="0.2">
      <c r="B4" s="91" t="s">
        <v>188</v>
      </c>
      <c r="C4" s="145"/>
      <c r="E4" s="140" t="str">
        <f ca="1">IF(C$4&lt;&gt;"",
IF(OR(INDIRECT("prüfungsliste!g"&amp;TEXT(C$4+3,"#"))="", INDIRECT("prüfungsliste!b"&amp;TEXT(C$4+3,"#"))=""),"Fehler.",
IF(INDIRECT("ZE!Q"&amp;TEXT(C$4+3,"#"))&lt;&gt;"J","Fehler.",
IF(INDIRECT("ZE!Z"&amp;TEXT(C$4+3,"#"))&lt;&gt;TRUE,"Fehler.",
IF(Außenseite!S18="","Fehler.","Ok.")))),"")</f>
        <v/>
      </c>
      <c r="F4" s="197" t="str">
        <f ca="1">IF($C$4&lt;&gt;"",
IF(OR(INDIRECT("ZE!Y"&amp;TEXT($C$4+3,"#"))="", INDIRECT("prüfungsliste!g"&amp;TEXT(C$4+3,"#"))=""),"In Zeile "&amp;TEXT($C$4,"#") &amp; " fehlt Name oder angestrebte Graduierung.",
IF(INDIRECT("ZE!Q"&amp;TEXT($C$4+3,"#"))&lt;&gt;"J","Für " &amp; INDIRECT("ZE!Y"&amp;TEXT($C$4+3,"#")) &amp; " in Zeile "&amp;TEXT($C$4,"#") &amp; IF(INDIRECT("ZE!Q"&amp;TEXT($C$4+3,"#"))="K", " muss eine Kyuurkunde mit Hilfe des Arbeitsblattes ""Kyuurkunde"" ausgestellt werden."," muss eine Danurkunde mit Hilfe des Arbeitsblattes ""Danurkunde"" ausgestellt werden."),
IF(INDIRECT("ZE!Z"&amp;TEXT($C$4+3,"#"))=FALSE,INDIRECT("ZE!Y"&amp;TEXT($C$4+3,"#")) &amp; " in Zeile "&amp;TEXT($C$4,"#") &amp; " hat nicht bestanden und kann deshalb keine Urkunde erhalten.",
IF(Außenseite!S18="","Der Ort der Prüfung muss auf der Außenseite eingetragen werden, damit gedruckt werden kann.","Papier/Urkunde in den Drucker einlegen und mit Excel drucken (&lt;STRG-P&gt;).")))),"")</f>
        <v/>
      </c>
      <c r="G4" s="197"/>
      <c r="H4" s="197"/>
      <c r="I4" s="144"/>
      <c r="J4" s="144"/>
      <c r="K4" s="144"/>
      <c r="L4" s="144"/>
      <c r="M4" s="144"/>
    </row>
    <row r="5" spans="2:13" ht="39.75" customHeight="1" x14ac:dyDescent="0.2">
      <c r="F5" s="197"/>
      <c r="G5" s="197"/>
      <c r="H5" s="197"/>
    </row>
    <row r="6" spans="2:13" ht="212.25" customHeight="1" x14ac:dyDescent="0.2"/>
    <row r="7" spans="2:13" ht="56.25" customHeight="1" x14ac:dyDescent="0.45">
      <c r="C7" s="198" t="str">
        <f ca="1">IF($E$4="Ok.",INDIRECT("ZE!Y"&amp;TEXT($C$4+3,"#")),"")</f>
        <v/>
      </c>
      <c r="D7" s="198"/>
      <c r="E7" s="198"/>
      <c r="F7" s="198"/>
      <c r="G7" s="198"/>
      <c r="H7" s="198"/>
      <c r="I7" s="198"/>
    </row>
    <row r="8" spans="2:13" ht="78" customHeight="1" x14ac:dyDescent="0.35">
      <c r="D8" s="143"/>
      <c r="E8" s="218" t="str">
        <f ca="1">IF($E$4="Ok.",Außenseite!$P$14,"")</f>
        <v/>
      </c>
      <c r="F8" s="218"/>
      <c r="G8" s="218"/>
      <c r="H8" s="218"/>
      <c r="I8" s="142"/>
    </row>
    <row r="9" spans="2:13" ht="29.25" customHeight="1" x14ac:dyDescent="0.35">
      <c r="D9" s="199" t="str">
        <f ca="1">IF($E$4="Ok.",Außenseite!$S$18,"")</f>
        <v/>
      </c>
      <c r="E9" s="199"/>
      <c r="F9" s="199"/>
      <c r="G9" s="199"/>
      <c r="H9" s="199"/>
      <c r="I9" s="199"/>
    </row>
    <row r="10" spans="2:13" ht="31.5" customHeight="1" x14ac:dyDescent="0.45">
      <c r="E10" s="198" t="str">
        <f ca="1">IF($E$4="Ok.",VLOOKUP(INDIRECT("Prüfungsliste!G" &amp; TEXT($C$4+3,"#")),nst,31,FALSE),"")</f>
        <v/>
      </c>
      <c r="F10" s="198"/>
    </row>
    <row r="11" spans="2:13" ht="59.25" customHeight="1" x14ac:dyDescent="0.35">
      <c r="D11" s="194" t="str">
        <f ca="1">IF($E$4="Ok.",VLOOKUP(INDIRECT("Prüfungsliste!G" &amp; TEXT($C$4+3,"#")),nst,32,FALSE),"")</f>
        <v/>
      </c>
      <c r="E11" s="194"/>
      <c r="F11" s="194"/>
      <c r="G11" s="194"/>
      <c r="H11" s="194"/>
      <c r="I11" s="141"/>
    </row>
    <row r="12" spans="2:13" ht="30" customHeight="1" x14ac:dyDescent="0.35">
      <c r="D12" s="141"/>
      <c r="E12" s="199" t="str">
        <f ca="1">IF($E$4="Ok.",VLOOKUP(INDIRECT("Prüfungsliste!G" &amp; TEXT($C$4+3,"#")),nst,33,FALSE),"")</f>
        <v/>
      </c>
      <c r="F12" s="199"/>
      <c r="G12" s="199"/>
      <c r="H12" s="199"/>
      <c r="I12" s="141"/>
    </row>
    <row r="13" spans="2:13" ht="205.5" customHeight="1" x14ac:dyDescent="0.2">
      <c r="C13" s="155" t="str">
        <f ca="1">IF($E$4="Ok.",
IF(Außenseite!$S$23 &lt;&gt; "", Außenseite!$S$23 &amp; ", " &amp; TEXT(Außenseite!$Y$23, "#") &amp; ". Dan" &amp;
IF(Außenseite!$S$25 &lt;&gt; "", CHAR(10) &amp; Außenseite!$S$25 &amp; ", " &amp; TEXT(Außenseite!$Y$25, "#") &amp; ". Dan" &amp;
IF(Außenseite!$S$27 &lt;&gt; "", CHAR(10) &amp; Außenseite!$S$27 &amp; ", " &amp; TEXT(Außenseite!$Y$27, "#") &amp; ". Dan", ""), ""),""),"")</f>
        <v/>
      </c>
      <c r="D13" s="155"/>
      <c r="E13" s="155"/>
      <c r="F13" s="155"/>
      <c r="G13" s="155"/>
      <c r="H13" s="155"/>
    </row>
  </sheetData>
  <sheetProtection sheet="1" objects="1" scenarios="1" formatColumns="0" formatRows="0" selectLockedCells="1"/>
  <mergeCells count="9">
    <mergeCell ref="C13:H13"/>
    <mergeCell ref="D9:I9"/>
    <mergeCell ref="B2:H2"/>
    <mergeCell ref="F4:H5"/>
    <mergeCell ref="E12:H12"/>
    <mergeCell ref="E8:H8"/>
    <mergeCell ref="E10:F10"/>
    <mergeCell ref="D11:H11"/>
    <mergeCell ref="C7:I7"/>
  </mergeCells>
  <conditionalFormatting sqref="E4:F4">
    <cfRule type="expression" dxfId="5" priority="1" stopIfTrue="1">
      <formula>$E$4="Fehler."</formula>
    </cfRule>
    <cfRule type="expression" dxfId="4" priority="2" stopIfTrue="1">
      <formula>$E$4="Ok."</formula>
    </cfRule>
  </conditionalFormatting>
  <pageMargins left="0.7" right="0.7" top="0.78740157499999996" bottom="0.78740157499999996" header="0.3" footer="0.3"/>
  <pageSetup paperSize="9" orientation="portrait"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B2:M13"/>
  <sheetViews>
    <sheetView workbookViewId="0">
      <selection activeCell="C4" sqref="C4"/>
    </sheetView>
  </sheetViews>
  <sheetFormatPr baseColWidth="10" defaultRowHeight="12.75" x14ac:dyDescent="0.2"/>
  <cols>
    <col min="1" max="1" width="3.85546875" customWidth="1"/>
    <col min="2" max="2" width="18.5703125" customWidth="1"/>
    <col min="3" max="3" width="4.28515625" customWidth="1"/>
    <col min="4" max="4" width="7.28515625" customWidth="1"/>
    <col min="6" max="6" width="10" customWidth="1"/>
    <col min="7" max="7" width="12.85546875" customWidth="1"/>
    <col min="8" max="8" width="32" customWidth="1"/>
  </cols>
  <sheetData>
    <row r="2" spans="2:13" ht="154.5" customHeight="1" x14ac:dyDescent="0.2">
      <c r="B2" s="196" t="s">
        <v>190</v>
      </c>
      <c r="C2" s="196"/>
      <c r="D2" s="196"/>
      <c r="E2" s="196"/>
      <c r="F2" s="196"/>
      <c r="G2" s="196"/>
      <c r="H2" s="196"/>
      <c r="I2" s="13"/>
      <c r="J2" s="13"/>
      <c r="K2" s="13"/>
      <c r="L2" s="13"/>
      <c r="M2" s="13"/>
    </row>
    <row r="4" spans="2:13" ht="12.75" customHeight="1" x14ac:dyDescent="0.2">
      <c r="B4" s="91" t="s">
        <v>191</v>
      </c>
      <c r="C4" s="145"/>
      <c r="E4" s="140" t="str">
        <f ca="1">IF(C$4&lt;&gt;"",
IF(OR(INDIRECT("prüfungsliste!g"&amp;TEXT(C$4+3,"#"))="", INDIRECT("prüfungsliste!b"&amp;TEXT(C$4+3,"#"))=""),"Fehler.",
IF(INDIRECT("ZE!Q"&amp;TEXT(C$4+3,"#"))&lt;&gt;"D","Fehler.",
IF(INDIRECT("ZE!Z"&amp;TEXT(C$4+3,"#"))&lt;&gt;TRUE,"Fehler.",
IF(Außenseite!S18="","Fehler.","Ok.")))),"")</f>
        <v/>
      </c>
      <c r="F4" s="197" t="str">
        <f ca="1">IF($C$4&lt;&gt;"",
IF(OR(INDIRECT("ZE!Y"&amp;TEXT($C$4+3,"#"))="", INDIRECT("prüfungsliste!g"&amp;TEXT(C$4+3,"#"))=""),"In Zeile "&amp;TEXT($C$4,"#") &amp; " fehlt Name oder angestrebte Graduierung.",
IF(INDIRECT("ZE!Q"&amp;TEXT($C$4+3,"#"))&lt;&gt;"D","Für " &amp; INDIRECT("ZE!Y"&amp;TEXT($C$4+3,"#")) &amp; " in Zeile "&amp;TEXT($C$4,"#") &amp; IF(INDIRECT("ZE!Q"&amp;TEXT($C$4+3,"#"))="K", " muss eine Kyuurkunde mit Hilfe des Arbeitsblattes ""Kyuurkunde"" ausgestellt werden."," muss eine Jugendurkunde mit Hilfe des Arbeitsblattes ""Jugendurkunde"" ausgestellt werden."),
IF(INDIRECT("ZE!Z"&amp;TEXT($C$4+3,"#"))=FALSE,INDIRECT("ZE!Y"&amp;TEXT($C$4+3,"#")) &amp; " in Zeile "&amp;TEXT($C$4,"#") &amp; " hat nicht bestanden und kann deshalb keine Urkunde erhalten.",
IF(Außenseite!S18="","Der Ort der Prüfung muss auf der Außenseite eingetragen werden, damit gedruckt werden kann.","Papier/Urkunde in den Drucker einlegen und mit Excel drucken (&lt;STRG-P&gt;).")))),"")</f>
        <v/>
      </c>
      <c r="G4" s="197"/>
      <c r="H4" s="197"/>
      <c r="I4" s="144"/>
      <c r="J4" s="144"/>
      <c r="K4" s="144"/>
      <c r="L4" s="144"/>
      <c r="M4" s="144"/>
    </row>
    <row r="5" spans="2:13" ht="39.75" customHeight="1" x14ac:dyDescent="0.2">
      <c r="F5" s="197"/>
      <c r="G5" s="197"/>
      <c r="H5" s="197"/>
    </row>
    <row r="6" spans="2:13" ht="129.75" customHeight="1" x14ac:dyDescent="0.2"/>
    <row r="7" spans="2:13" ht="84.75" customHeight="1" x14ac:dyDescent="0.4">
      <c r="D7" s="143"/>
      <c r="E7" s="204"/>
      <c r="F7" s="204"/>
      <c r="G7" s="204"/>
      <c r="H7" s="204"/>
      <c r="I7" s="142"/>
    </row>
    <row r="8" spans="2:13" ht="38.25" customHeight="1" x14ac:dyDescent="0.35">
      <c r="B8" s="203" t="str">
        <f ca="1">IF($E$4="Ok.",Außenseite!$S$18,"")</f>
        <v/>
      </c>
      <c r="C8" s="203"/>
      <c r="D8" s="203"/>
      <c r="E8" s="203"/>
      <c r="F8" s="203"/>
      <c r="G8" s="203"/>
      <c r="H8" s="203"/>
      <c r="I8" s="141"/>
    </row>
    <row r="9" spans="2:13" ht="74.25" customHeight="1" x14ac:dyDescent="0.45">
      <c r="B9" s="205" t="str">
        <f ca="1">IF($E$4="Ok.",INDIRECT("ZE!Y"&amp;TEXT($C$4+3,"#")),"")</f>
        <v/>
      </c>
      <c r="C9" s="205"/>
      <c r="D9" s="205"/>
      <c r="E9" s="205"/>
      <c r="F9" s="205"/>
      <c r="G9" s="205"/>
      <c r="H9" s="205"/>
      <c r="I9" s="141"/>
    </row>
    <row r="10" spans="2:13" ht="78" customHeight="1" x14ac:dyDescent="0.45">
      <c r="C10" s="198" t="str">
        <f ca="1">IF($E$4="Ok.",VLOOKUP(INDIRECT("Prüfungsliste!G" &amp; TEXT($C$4+3,"#")),nst,31,FALSE) &amp; " Dan Ju-Jutsu","")</f>
        <v/>
      </c>
      <c r="D10" s="198"/>
      <c r="E10" s="198"/>
      <c r="F10" s="198"/>
      <c r="G10" s="198"/>
      <c r="H10" s="198"/>
    </row>
    <row r="11" spans="2:13" ht="156.75" customHeight="1" x14ac:dyDescent="0.35">
      <c r="D11" s="195"/>
      <c r="E11" s="195"/>
      <c r="F11" s="195"/>
      <c r="G11" s="195"/>
      <c r="H11" s="195"/>
      <c r="I11" s="141"/>
    </row>
    <row r="12" spans="2:13" ht="38.25" customHeight="1" x14ac:dyDescent="0.45">
      <c r="C12" s="200"/>
      <c r="D12" s="200"/>
      <c r="E12" s="147"/>
      <c r="F12" s="147"/>
      <c r="G12" s="147"/>
      <c r="H12" s="147"/>
      <c r="I12" s="141"/>
    </row>
    <row r="13" spans="2:13" ht="125.25" customHeight="1" x14ac:dyDescent="0.2">
      <c r="B13" s="202" t="str">
        <f ca="1">IF($E$4="Ok.",Außenseite!$P$14,"")</f>
        <v/>
      </c>
      <c r="C13" s="202"/>
      <c r="D13" s="148"/>
      <c r="E13" s="201" t="str">
        <f ca="1">IF($E$4="Ok.",
IF(Außenseite!$S$23 &lt;&gt; "", Außenseite!$S$23 &amp; ", " &amp; TEXT(Außenseite!$Y$23, "#") &amp; ". Dan" &amp;
IF(Außenseite!$S$25 &lt;&gt; "", CHAR(10) &amp; Außenseite!$S$25 &amp; ", " &amp; TEXT(Außenseite!$Y$25, "#") &amp; ". Dan" &amp;
IF(Außenseite!$S$27 &lt;&gt; "", CHAR(10) &amp; Außenseite!$S$27 &amp; ", " &amp; TEXT(Außenseite!$Y$27, "#") &amp; ". Dan", ""), ""),""),"")</f>
        <v/>
      </c>
      <c r="F13" s="201"/>
      <c r="G13" s="201"/>
      <c r="H13" s="201"/>
    </row>
  </sheetData>
  <sheetProtection sheet="1" objects="1" scenarios="1" formatColumns="0" formatRows="0" selectLockedCells="1"/>
  <mergeCells count="10">
    <mergeCell ref="B8:H8"/>
    <mergeCell ref="B2:H2"/>
    <mergeCell ref="F4:H5"/>
    <mergeCell ref="E7:H7"/>
    <mergeCell ref="B9:H9"/>
    <mergeCell ref="D11:H11"/>
    <mergeCell ref="C12:D12"/>
    <mergeCell ref="E13:H13"/>
    <mergeCell ref="C10:H10"/>
    <mergeCell ref="B13:C13"/>
  </mergeCells>
  <conditionalFormatting sqref="E4:F4">
    <cfRule type="expression" dxfId="3" priority="1" stopIfTrue="1">
      <formula>$E$4="Fehler."</formula>
    </cfRule>
    <cfRule type="expression" dxfId="2" priority="2" stopIfTrue="1">
      <formula>$E$4="Ok."</formula>
    </cfRule>
  </conditionalFormatting>
  <pageMargins left="0.25" right="0.25" top="0.75" bottom="0.75" header="0.3" footer="0.3"/>
  <pageSetup paperSize="9" orientation="portrait"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B2:M13"/>
  <sheetViews>
    <sheetView workbookViewId="0">
      <selection activeCell="C4" sqref="C4"/>
    </sheetView>
  </sheetViews>
  <sheetFormatPr baseColWidth="10" defaultRowHeight="12.75" x14ac:dyDescent="0.2"/>
  <cols>
    <col min="1" max="1" width="2.85546875" customWidth="1"/>
    <col min="2" max="2" width="16.42578125" customWidth="1"/>
    <col min="3" max="3" width="4.28515625" customWidth="1"/>
    <col min="4" max="4" width="4.42578125" customWidth="1"/>
    <col min="6" max="6" width="10" customWidth="1"/>
    <col min="7" max="7" width="12.85546875" customWidth="1"/>
  </cols>
  <sheetData>
    <row r="2" spans="2:13" ht="153" customHeight="1" x14ac:dyDescent="0.2">
      <c r="B2" s="196" t="s">
        <v>190</v>
      </c>
      <c r="C2" s="196"/>
      <c r="D2" s="196"/>
      <c r="E2" s="196"/>
      <c r="F2" s="196"/>
      <c r="G2" s="196"/>
      <c r="H2" s="196"/>
      <c r="I2" s="13"/>
      <c r="J2" s="13"/>
      <c r="K2" s="13"/>
      <c r="L2" s="13"/>
      <c r="M2" s="13"/>
    </row>
    <row r="4" spans="2:13" ht="12.75" customHeight="1" x14ac:dyDescent="0.2">
      <c r="B4" s="91" t="s">
        <v>191</v>
      </c>
      <c r="C4" s="145"/>
      <c r="E4" s="140" t="str">
        <f ca="1">IF(C$4&lt;&gt;"",
IF(OR(INDIRECT("prüfungsliste!g"&amp;TEXT(C$4+3,"#"))="", INDIRECT("prüfungsliste!b"&amp;TEXT(C$4+3,"#"))=""),"Fehler.",
IF(INDIRECT("ZE!Q"&amp;TEXT(C$4+3,"#"))&lt;&gt;"D","Fehler.",
IF(INDIRECT("ZE!Z"&amp;TEXT(C$4+3,"#"))&lt;&gt;TRUE,"Fehler.",
IF(Außenseite!S18="","Fehler.","Ok.")))),"")</f>
        <v/>
      </c>
      <c r="F4" s="197" t="str">
        <f ca="1">IF($C$4&lt;&gt;"",
IF(OR(INDIRECT("ZE!Y"&amp;TEXT($C$4+3,"#"))="", INDIRECT("prüfungsliste!g"&amp;TEXT(C$4+3,"#"))=""),"In Zeile "&amp;TEXT($C$4,"#") &amp; " fehlt Name oder angestrebte Graduierung.",
IF(INDIRECT("ZE!Q"&amp;TEXT($C$4+3,"#"))&lt;&gt;"D","Für " &amp; INDIRECT("ZE!Y"&amp;TEXT($C$4+3,"#")) &amp; " in Zeile "&amp;TEXT($C$4,"#") &amp; IF(INDIRECT("ZE!Q"&amp;TEXT($C$4+3,"#"))="K", " muss eine Kyuurkunde mit Hilfe des Arbeitsblattes ""Kyuurkunde"" ausgestellt werden."," muss eine Jugendurkunde mit Hilfe des Arbeitsblattes ""Jugendurkunde"" ausgestellt werden."),
IF(INDIRECT("ZE!Z"&amp;TEXT($C$4+3,"#"))=FALSE,INDIRECT("ZE!Y"&amp;TEXT($C$4+3,"#")) &amp; " in Zeile "&amp;TEXT($C$4,"#") &amp; " hat nicht bestanden und kann deshalb keine Urkunde erhalten.",
IF(Außenseite!S18="","Der Ort der Prüfung muss auf der Außenseite eingetragen werden, damit gedruckt werden kann.","Papier/Urkunde in den Drucker einlegen und mit Excel drucken (&lt;STRG-P&gt;).")))),"")</f>
        <v/>
      </c>
      <c r="G4" s="197"/>
      <c r="H4" s="197"/>
      <c r="I4" s="144"/>
      <c r="J4" s="144"/>
      <c r="K4" s="144"/>
      <c r="L4" s="144"/>
      <c r="M4" s="144"/>
    </row>
    <row r="5" spans="2:13" ht="39.75" customHeight="1" x14ac:dyDescent="0.2">
      <c r="F5" s="197"/>
      <c r="G5" s="197"/>
      <c r="H5" s="197"/>
    </row>
    <row r="6" spans="2:13" ht="212.25" customHeight="1" x14ac:dyDescent="0.2"/>
    <row r="7" spans="2:13" ht="84.75" customHeight="1" x14ac:dyDescent="0.4">
      <c r="D7" s="143"/>
      <c r="E7" s="219" t="str">
        <f ca="1">IF($E$4="Ok.",Außenseite!$P$14,"")</f>
        <v/>
      </c>
      <c r="F7" s="219"/>
      <c r="G7" s="219"/>
      <c r="H7" s="219"/>
      <c r="I7" s="142"/>
    </row>
    <row r="8" spans="2:13" ht="38.25" customHeight="1" x14ac:dyDescent="0.4">
      <c r="C8" s="207" t="str">
        <f ca="1">IF($E$4="Ok.",Außenseite!$S$18,"")</f>
        <v/>
      </c>
      <c r="D8" s="207"/>
      <c r="E8" s="207"/>
      <c r="F8" s="207"/>
      <c r="G8" s="150"/>
      <c r="H8" s="150"/>
      <c r="I8" s="141"/>
    </row>
    <row r="9" spans="2:13" ht="74.25" customHeight="1" x14ac:dyDescent="0.45">
      <c r="B9" s="208" t="str">
        <f ca="1">IF($E$4="Ok.",INDIRECT("ZE!Y"&amp;TEXT($C$4+3,"#")),"")</f>
        <v/>
      </c>
      <c r="C9" s="208"/>
      <c r="D9" s="208"/>
      <c r="E9" s="208"/>
      <c r="F9" s="208"/>
      <c r="G9" s="208"/>
      <c r="H9" s="208"/>
      <c r="I9" s="141"/>
    </row>
    <row r="10" spans="2:13" ht="51.75" customHeight="1" x14ac:dyDescent="0.45">
      <c r="C10" s="209" t="str">
        <f ca="1">IF($E$4="Ok.",VLOOKUP(INDIRECT("Prüfungsliste!G" &amp; TEXT($C$4+3,"#")),nst,31,FALSE),"")</f>
        <v/>
      </c>
      <c r="D10" s="209"/>
      <c r="E10" s="146"/>
      <c r="F10" s="146"/>
    </row>
    <row r="11" spans="2:13" ht="69" customHeight="1" x14ac:dyDescent="0.35">
      <c r="D11" s="194"/>
      <c r="E11" s="194"/>
      <c r="F11" s="194"/>
      <c r="G11" s="194"/>
      <c r="H11" s="194"/>
      <c r="I11" s="141"/>
    </row>
    <row r="12" spans="2:13" ht="38.25" customHeight="1" x14ac:dyDescent="0.45">
      <c r="C12" s="200" t="str">
        <f ca="1">IF($E$4="Ok.",VLOOKUP(INDIRECT("Prüfungsliste!G" &amp; TEXT($C$4+3,"#")),nst,33,FALSE),"")</f>
        <v/>
      </c>
      <c r="D12" s="200"/>
      <c r="E12" s="147"/>
      <c r="F12" s="147"/>
      <c r="G12" s="147"/>
      <c r="H12" s="147"/>
      <c r="I12" s="141"/>
    </row>
    <row r="13" spans="2:13" ht="135" customHeight="1" x14ac:dyDescent="0.2">
      <c r="C13" s="148"/>
      <c r="D13" s="148"/>
      <c r="E13" s="206" t="str">
        <f ca="1">IF($E$4="Ok.",
IF(Außenseite!$S$23 &lt;&gt; "", Außenseite!$S$23 &amp; ", " &amp; TEXT(Außenseite!$Y$23, "#") &amp; ". Dan" &amp;
IF(Außenseite!$S$25 &lt;&gt; "", CHAR(10) &amp; Außenseite!$S$25 &amp; ", " &amp; TEXT(Außenseite!$Y$25, "#") &amp; ". Dan" &amp;
IF(Außenseite!$S$27 &lt;&gt; "", CHAR(10) &amp; Außenseite!$S$27 &amp; ", " &amp; TEXT(Außenseite!$Y$27, "#") &amp; ". Dan", ""), ""),""),"")</f>
        <v/>
      </c>
      <c r="F13" s="206"/>
      <c r="G13" s="206"/>
      <c r="H13" s="206"/>
    </row>
  </sheetData>
  <sheetProtection sheet="1" objects="1" scenarios="1" formatColumns="0" formatRows="0" selectLockedCells="1"/>
  <mergeCells count="9">
    <mergeCell ref="B2:H2"/>
    <mergeCell ref="F4:H5"/>
    <mergeCell ref="E7:H7"/>
    <mergeCell ref="E13:H13"/>
    <mergeCell ref="C8:F8"/>
    <mergeCell ref="B9:H9"/>
    <mergeCell ref="D11:H11"/>
    <mergeCell ref="C10:D10"/>
    <mergeCell ref="C12:D12"/>
  </mergeCells>
  <conditionalFormatting sqref="E4:F4">
    <cfRule type="expression" dxfId="1" priority="1" stopIfTrue="1">
      <formula>$E$4="Fehler."</formula>
    </cfRule>
    <cfRule type="expression" dxfId="0" priority="2" stopIfTrue="1">
      <formula>$E$4="Ok."</formula>
    </cfRule>
  </conditionalFormatting>
  <pageMargins left="0.7" right="0.7" top="0.78740157499999996" bottom="0.78740157499999996" header="0.3" footer="0.3"/>
  <pageSetup paperSize="9" orientation="portrait"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AS28"/>
  <sheetViews>
    <sheetView topLeftCell="AJ4" workbookViewId="0">
      <selection activeCell="AQ14" sqref="AQ14"/>
    </sheetView>
  </sheetViews>
  <sheetFormatPr baseColWidth="10" defaultRowHeight="12.75" x14ac:dyDescent="0.2"/>
  <cols>
    <col min="1" max="1" width="6.140625" bestFit="1" customWidth="1"/>
    <col min="2" max="2" width="5.5703125" bestFit="1" customWidth="1"/>
    <col min="3" max="3" width="6" bestFit="1" customWidth="1"/>
    <col min="4" max="4" width="2.7109375" bestFit="1" customWidth="1"/>
    <col min="5" max="5" width="10.140625" bestFit="1" customWidth="1"/>
    <col min="6" max="6" width="2.7109375" bestFit="1" customWidth="1"/>
    <col min="7" max="7" width="7" bestFit="1" customWidth="1"/>
    <col min="8" max="8" width="2.7109375" bestFit="1" customWidth="1"/>
    <col min="9" max="29" width="3" bestFit="1" customWidth="1"/>
    <col min="30" max="30" width="3.42578125" bestFit="1" customWidth="1"/>
    <col min="31" max="31" width="3" bestFit="1" customWidth="1"/>
    <col min="32" max="33" width="3.28515625" customWidth="1"/>
    <col min="34" max="34" width="7.7109375" bestFit="1" customWidth="1"/>
    <col min="35" max="35" width="17.28515625" bestFit="1" customWidth="1"/>
    <col min="36" max="41" width="3.28515625" customWidth="1"/>
    <col min="45" max="45" width="39.85546875" customWidth="1"/>
  </cols>
  <sheetData>
    <row r="1" spans="1:45" x14ac:dyDescent="0.2">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R1" s="90"/>
    </row>
    <row r="2" spans="1:45" ht="102" customHeight="1" x14ac:dyDescent="0.2">
      <c r="A2" s="2" t="s">
        <v>12</v>
      </c>
      <c r="B2" s="3" t="s">
        <v>96</v>
      </c>
      <c r="C2" s="3" t="s">
        <v>97</v>
      </c>
      <c r="D2" s="2" t="s">
        <v>94</v>
      </c>
      <c r="E2" s="2" t="s">
        <v>11</v>
      </c>
      <c r="F2" s="2" t="s">
        <v>95</v>
      </c>
      <c r="G2" s="2" t="s">
        <v>98</v>
      </c>
      <c r="H2" s="3" t="s">
        <v>0</v>
      </c>
      <c r="I2" s="3" t="s">
        <v>21</v>
      </c>
      <c r="J2" s="3" t="s">
        <v>22</v>
      </c>
      <c r="K2" s="3" t="s">
        <v>23</v>
      </c>
      <c r="L2" s="3" t="s">
        <v>37</v>
      </c>
      <c r="M2" s="3" t="s">
        <v>24</v>
      </c>
      <c r="N2" s="3" t="s">
        <v>25</v>
      </c>
      <c r="O2" s="3" t="s">
        <v>18</v>
      </c>
      <c r="P2" s="3" t="s">
        <v>141</v>
      </c>
      <c r="Q2" s="3" t="s">
        <v>1</v>
      </c>
      <c r="R2" s="3" t="s">
        <v>26</v>
      </c>
      <c r="S2" s="3" t="s">
        <v>27</v>
      </c>
      <c r="T2" s="3" t="s">
        <v>142</v>
      </c>
      <c r="U2" s="3" t="s">
        <v>20</v>
      </c>
      <c r="V2" s="3" t="s">
        <v>28</v>
      </c>
      <c r="W2" s="3" t="s">
        <v>16</v>
      </c>
      <c r="X2" s="4" t="s">
        <v>3</v>
      </c>
      <c r="Y2" s="4" t="s">
        <v>2</v>
      </c>
      <c r="Z2" s="4" t="s">
        <v>29</v>
      </c>
      <c r="AA2" s="4" t="s">
        <v>30</v>
      </c>
      <c r="AB2" s="3" t="s">
        <v>4</v>
      </c>
      <c r="AC2" s="3" t="s">
        <v>6</v>
      </c>
      <c r="AD2" s="3" t="s">
        <v>31</v>
      </c>
      <c r="AE2" s="3" t="s">
        <v>128</v>
      </c>
      <c r="AF2" s="3" t="s">
        <v>129</v>
      </c>
      <c r="AG2" s="3" t="s">
        <v>161</v>
      </c>
      <c r="AH2" s="3" t="s">
        <v>160</v>
      </c>
      <c r="AI2" s="3" t="s">
        <v>168</v>
      </c>
      <c r="AJ2" s="3" t="s">
        <v>182</v>
      </c>
      <c r="AK2" s="3"/>
      <c r="AL2" s="3"/>
      <c r="AM2" s="3"/>
      <c r="AN2" s="3"/>
      <c r="AO2" s="3"/>
      <c r="AQ2" s="91" t="s">
        <v>200</v>
      </c>
      <c r="AR2" s="3"/>
    </row>
    <row r="3" spans="1:45" x14ac:dyDescent="0.2">
      <c r="A3" s="8" t="s">
        <v>55</v>
      </c>
      <c r="B3" s="9" t="s">
        <v>44</v>
      </c>
      <c r="C3" s="9" t="s">
        <v>42</v>
      </c>
      <c r="D3" s="5">
        <v>6</v>
      </c>
      <c r="E3" s="6">
        <f t="shared" ref="E3:E15" ca="1" si="0">DATE(YEAR(PTag)-D3,MONTH(PTag),DAY(PTag))</f>
        <v>43848</v>
      </c>
      <c r="F3" s="7">
        <v>6</v>
      </c>
      <c r="G3" s="6">
        <f t="shared" ref="G3:G19" ca="1" si="1">DATE(IF(MONTH(PTag)&gt;F3,YEAR(PTag),YEAR(PTag)-1),IF(MONTH(PTag)&gt;F3,(MONTH(PTag)-F3),MONTH(PTag)+12-F3),DAY(PTag))</f>
        <v>45856</v>
      </c>
      <c r="H3" s="9">
        <v>1</v>
      </c>
      <c r="I3" s="9" t="s">
        <v>93</v>
      </c>
      <c r="J3" s="9" t="s">
        <v>93</v>
      </c>
      <c r="K3" s="9" t="s">
        <v>93</v>
      </c>
      <c r="L3" s="9">
        <v>1</v>
      </c>
      <c r="M3" s="9" t="s">
        <v>93</v>
      </c>
      <c r="N3" s="9" t="s">
        <v>93</v>
      </c>
      <c r="O3" s="9">
        <v>0</v>
      </c>
      <c r="P3" s="9">
        <v>0</v>
      </c>
      <c r="Q3" s="9">
        <v>0</v>
      </c>
      <c r="R3" s="9">
        <v>0</v>
      </c>
      <c r="S3" s="9">
        <v>1</v>
      </c>
      <c r="T3" s="9">
        <v>1</v>
      </c>
      <c r="U3" s="9">
        <v>1</v>
      </c>
      <c r="V3" s="9">
        <v>1</v>
      </c>
      <c r="W3" s="9">
        <v>1</v>
      </c>
      <c r="X3" s="7" t="s">
        <v>99</v>
      </c>
      <c r="Y3" s="5">
        <v>0</v>
      </c>
      <c r="Z3" s="5">
        <v>0</v>
      </c>
      <c r="AA3" s="5">
        <v>0</v>
      </c>
      <c r="AB3" s="10">
        <f t="shared" ref="AB3:AB19" si="2">SUM(H3:W3)</f>
        <v>7</v>
      </c>
      <c r="AC3" s="10">
        <v>1</v>
      </c>
      <c r="AD3" s="10">
        <f t="shared" ref="AD3:AD19" si="3">AB3*3</f>
        <v>21</v>
      </c>
      <c r="AE3">
        <f>COUNTIF(Prüfungsliste!AJ$4:AJ$23,MV!C3)</f>
        <v>0</v>
      </c>
      <c r="AF3">
        <f>COUNTIF(Prüfungsliste!G$4:G$23,MV!C3)</f>
        <v>0</v>
      </c>
      <c r="AG3" t="s">
        <v>162</v>
      </c>
      <c r="AH3" t="s">
        <v>175</v>
      </c>
      <c r="AI3" t="s">
        <v>169</v>
      </c>
      <c r="AJ3" t="s">
        <v>183</v>
      </c>
      <c r="AQ3" s="91" t="s">
        <v>136</v>
      </c>
      <c r="AR3" s="91" t="s">
        <v>15</v>
      </c>
      <c r="AS3" s="91" t="s">
        <v>138</v>
      </c>
    </row>
    <row r="4" spans="1:45" x14ac:dyDescent="0.2">
      <c r="A4" s="8" t="s">
        <v>42</v>
      </c>
      <c r="B4" s="9" t="s">
        <v>44</v>
      </c>
      <c r="C4" s="9" t="s">
        <v>43</v>
      </c>
      <c r="D4" s="5">
        <v>7</v>
      </c>
      <c r="E4" s="6">
        <f t="shared" ca="1" si="0"/>
        <v>43483</v>
      </c>
      <c r="F4" s="7">
        <v>6</v>
      </c>
      <c r="G4" s="6">
        <f t="shared" ca="1" si="1"/>
        <v>45856</v>
      </c>
      <c r="H4" s="9">
        <v>1</v>
      </c>
      <c r="I4" s="9" t="s">
        <v>93</v>
      </c>
      <c r="J4" s="9" t="s">
        <v>93</v>
      </c>
      <c r="K4" s="9" t="s">
        <v>93</v>
      </c>
      <c r="L4" s="9">
        <v>1</v>
      </c>
      <c r="M4" s="9" t="s">
        <v>93</v>
      </c>
      <c r="N4" s="9" t="s">
        <v>93</v>
      </c>
      <c r="O4" s="9">
        <v>0</v>
      </c>
      <c r="P4" s="9">
        <v>0</v>
      </c>
      <c r="Q4" s="9">
        <v>0</v>
      </c>
      <c r="R4" s="9">
        <v>0</v>
      </c>
      <c r="S4" s="9">
        <v>1</v>
      </c>
      <c r="T4" s="9">
        <v>1</v>
      </c>
      <c r="U4" s="9">
        <v>1</v>
      </c>
      <c r="V4" s="9">
        <v>1</v>
      </c>
      <c r="W4" s="9">
        <v>1</v>
      </c>
      <c r="X4" s="7" t="s">
        <v>99</v>
      </c>
      <c r="Y4" s="5">
        <v>0</v>
      </c>
      <c r="Z4" s="5">
        <v>0</v>
      </c>
      <c r="AA4" s="5">
        <v>0</v>
      </c>
      <c r="AB4" s="10">
        <f t="shared" si="2"/>
        <v>7</v>
      </c>
      <c r="AC4" s="10">
        <v>1</v>
      </c>
      <c r="AD4" s="10">
        <f t="shared" si="3"/>
        <v>21</v>
      </c>
      <c r="AE4">
        <f>COUNTIF(Prüfungsliste!AJ$4:AJ$23,MV!C4)</f>
        <v>0</v>
      </c>
      <c r="AF4">
        <f>COUNTIF(Prüfungsliste!G$4:G$23,MV!C4)</f>
        <v>0</v>
      </c>
      <c r="AG4" t="s">
        <v>162</v>
      </c>
      <c r="AH4" t="s">
        <v>175</v>
      </c>
      <c r="AI4" t="s">
        <v>170</v>
      </c>
      <c r="AJ4" t="s">
        <v>183</v>
      </c>
      <c r="AQ4" s="92" t="s">
        <v>137</v>
      </c>
      <c r="AR4" s="94">
        <v>44826</v>
      </c>
      <c r="AS4" s="93" t="s">
        <v>139</v>
      </c>
    </row>
    <row r="5" spans="1:45" x14ac:dyDescent="0.2">
      <c r="A5" s="8" t="s">
        <v>43</v>
      </c>
      <c r="B5" s="9" t="s">
        <v>44</v>
      </c>
      <c r="C5" s="9" t="s">
        <v>44</v>
      </c>
      <c r="D5" s="5">
        <v>8</v>
      </c>
      <c r="E5" s="6">
        <f t="shared" ca="1" si="0"/>
        <v>43118</v>
      </c>
      <c r="F5" s="7">
        <v>6</v>
      </c>
      <c r="G5" s="6">
        <f t="shared" ca="1" si="1"/>
        <v>45856</v>
      </c>
      <c r="H5" s="9">
        <v>1</v>
      </c>
      <c r="I5" s="9">
        <v>1</v>
      </c>
      <c r="J5" s="9">
        <v>1</v>
      </c>
      <c r="K5" s="9">
        <v>1</v>
      </c>
      <c r="L5" s="9">
        <v>0</v>
      </c>
      <c r="M5" s="9">
        <v>1</v>
      </c>
      <c r="N5" s="9">
        <v>1</v>
      </c>
      <c r="O5" s="9">
        <v>0</v>
      </c>
      <c r="P5" s="9">
        <v>0</v>
      </c>
      <c r="Q5" s="9">
        <v>0</v>
      </c>
      <c r="R5" s="9">
        <v>0</v>
      </c>
      <c r="S5" s="9">
        <v>1</v>
      </c>
      <c r="T5" s="9">
        <v>1</v>
      </c>
      <c r="U5" s="9">
        <v>1</v>
      </c>
      <c r="V5" s="9">
        <v>1</v>
      </c>
      <c r="W5" s="9">
        <v>1</v>
      </c>
      <c r="X5" s="7" t="s">
        <v>99</v>
      </c>
      <c r="Y5" s="5">
        <v>0</v>
      </c>
      <c r="Z5" s="5">
        <v>0</v>
      </c>
      <c r="AA5" s="5">
        <v>0</v>
      </c>
      <c r="AB5" s="10">
        <f t="shared" si="2"/>
        <v>11</v>
      </c>
      <c r="AC5" s="10">
        <v>1</v>
      </c>
      <c r="AD5" s="10">
        <f t="shared" si="3"/>
        <v>33</v>
      </c>
      <c r="AE5">
        <f>COUNTIF(Prüfungsliste!AJ$4:AJ$23,MV!C5)</f>
        <v>0</v>
      </c>
      <c r="AF5">
        <f>COUNTIF(Prüfungsliste!G$4:G$23,MV!C5)</f>
        <v>0</v>
      </c>
      <c r="AG5" t="s">
        <v>163</v>
      </c>
      <c r="AH5" t="s">
        <v>176</v>
      </c>
      <c r="AI5" t="str">
        <f>""</f>
        <v/>
      </c>
      <c r="AJ5" t="s">
        <v>184</v>
      </c>
      <c r="AQ5" s="58" t="s">
        <v>145</v>
      </c>
      <c r="AR5" s="94">
        <v>44827</v>
      </c>
      <c r="AS5" t="s">
        <v>140</v>
      </c>
    </row>
    <row r="6" spans="1:45" x14ac:dyDescent="0.2">
      <c r="A6" s="8" t="s">
        <v>44</v>
      </c>
      <c r="B6" s="9" t="s">
        <v>47</v>
      </c>
      <c r="C6" s="9" t="s">
        <v>45</v>
      </c>
      <c r="D6" s="5">
        <v>9</v>
      </c>
      <c r="E6" s="6">
        <f t="shared" ca="1" si="0"/>
        <v>42753</v>
      </c>
      <c r="F6" s="7">
        <v>6</v>
      </c>
      <c r="G6" s="6">
        <f t="shared" ca="1" si="1"/>
        <v>45856</v>
      </c>
      <c r="H6" s="9">
        <v>1</v>
      </c>
      <c r="I6" s="9" t="s">
        <v>93</v>
      </c>
      <c r="J6" s="9" t="s">
        <v>93</v>
      </c>
      <c r="K6" s="9" t="s">
        <v>93</v>
      </c>
      <c r="L6" s="9">
        <v>1</v>
      </c>
      <c r="M6" s="9" t="s">
        <v>93</v>
      </c>
      <c r="N6" s="9" t="s">
        <v>93</v>
      </c>
      <c r="O6" s="9">
        <v>0</v>
      </c>
      <c r="P6" s="9">
        <v>0</v>
      </c>
      <c r="Q6" s="9">
        <v>1</v>
      </c>
      <c r="R6" s="9">
        <v>1</v>
      </c>
      <c r="S6" s="9">
        <v>1</v>
      </c>
      <c r="T6" s="9">
        <v>1</v>
      </c>
      <c r="U6" s="9">
        <v>1</v>
      </c>
      <c r="V6" s="9">
        <v>1</v>
      </c>
      <c r="W6" s="9">
        <v>1</v>
      </c>
      <c r="X6" s="7" t="s">
        <v>99</v>
      </c>
      <c r="Y6" s="5">
        <v>0</v>
      </c>
      <c r="Z6" s="5">
        <v>0</v>
      </c>
      <c r="AA6" s="5">
        <v>0</v>
      </c>
      <c r="AB6" s="10">
        <f t="shared" si="2"/>
        <v>9</v>
      </c>
      <c r="AC6" s="10">
        <v>1</v>
      </c>
      <c r="AD6" s="10">
        <f t="shared" si="3"/>
        <v>27</v>
      </c>
      <c r="AE6">
        <f>COUNTIF(Prüfungsliste!AJ$4:AJ$23,MV!C6)</f>
        <v>0</v>
      </c>
      <c r="AF6">
        <f>COUNTIF(Prüfungsliste!G$4:G$23,MV!C6)</f>
        <v>0</v>
      </c>
      <c r="AG6" t="s">
        <v>163</v>
      </c>
      <c r="AH6" t="s">
        <v>176</v>
      </c>
      <c r="AI6" t="s">
        <v>194</v>
      </c>
      <c r="AJ6" t="s">
        <v>183</v>
      </c>
      <c r="AQ6" t="s">
        <v>143</v>
      </c>
      <c r="AR6" s="94">
        <v>44998</v>
      </c>
      <c r="AS6" t="s">
        <v>144</v>
      </c>
    </row>
    <row r="7" spans="1:45" x14ac:dyDescent="0.2">
      <c r="A7" s="8" t="s">
        <v>45</v>
      </c>
      <c r="B7" s="9" t="s">
        <v>47</v>
      </c>
      <c r="C7" s="9" t="s">
        <v>46</v>
      </c>
      <c r="D7" s="5">
        <v>10</v>
      </c>
      <c r="E7" s="6">
        <f t="shared" ca="1" si="0"/>
        <v>42387</v>
      </c>
      <c r="F7" s="7">
        <v>6</v>
      </c>
      <c r="G7" s="6">
        <f t="shared" ca="1" si="1"/>
        <v>45856</v>
      </c>
      <c r="H7" s="9">
        <v>1</v>
      </c>
      <c r="I7" s="9" t="s">
        <v>93</v>
      </c>
      <c r="J7" s="9" t="s">
        <v>93</v>
      </c>
      <c r="K7" s="9" t="s">
        <v>93</v>
      </c>
      <c r="L7" s="9">
        <v>1</v>
      </c>
      <c r="M7" s="9" t="s">
        <v>93</v>
      </c>
      <c r="N7" s="9" t="s">
        <v>93</v>
      </c>
      <c r="O7" s="9">
        <v>0</v>
      </c>
      <c r="P7" s="9">
        <v>0</v>
      </c>
      <c r="Q7" s="9">
        <v>1</v>
      </c>
      <c r="R7" s="9">
        <v>1</v>
      </c>
      <c r="S7" s="9">
        <v>1</v>
      </c>
      <c r="T7" s="9">
        <v>1</v>
      </c>
      <c r="U7" s="9">
        <v>1</v>
      </c>
      <c r="V7" s="9">
        <v>1</v>
      </c>
      <c r="W7" s="9">
        <v>1</v>
      </c>
      <c r="X7" s="7" t="s">
        <v>99</v>
      </c>
      <c r="Y7" s="5">
        <v>0</v>
      </c>
      <c r="Z7" s="5">
        <v>0</v>
      </c>
      <c r="AA7" s="5">
        <v>0</v>
      </c>
      <c r="AB7" s="10">
        <f t="shared" si="2"/>
        <v>9</v>
      </c>
      <c r="AC7" s="10">
        <v>1</v>
      </c>
      <c r="AD7" s="10">
        <f t="shared" si="3"/>
        <v>27</v>
      </c>
      <c r="AE7">
        <f>COUNTIF(Prüfungsliste!AJ$4:AJ$23,MV!C7)</f>
        <v>0</v>
      </c>
      <c r="AF7">
        <f>COUNTIF(Prüfungsliste!G$4:G$23,MV!C7)</f>
        <v>0</v>
      </c>
      <c r="AG7" t="s">
        <v>163</v>
      </c>
      <c r="AH7" t="s">
        <v>176</v>
      </c>
      <c r="AI7" t="s">
        <v>171</v>
      </c>
      <c r="AJ7" t="s">
        <v>183</v>
      </c>
      <c r="AQ7" s="90" t="s">
        <v>146</v>
      </c>
      <c r="AR7" s="94">
        <v>45089</v>
      </c>
      <c r="AS7" s="91" t="s">
        <v>147</v>
      </c>
    </row>
    <row r="8" spans="1:45" x14ac:dyDescent="0.2">
      <c r="A8" s="8" t="s">
        <v>46</v>
      </c>
      <c r="B8" s="9" t="s">
        <v>47</v>
      </c>
      <c r="C8" s="9" t="s">
        <v>47</v>
      </c>
      <c r="D8" s="5">
        <v>11</v>
      </c>
      <c r="E8" s="6">
        <f t="shared" ca="1" si="0"/>
        <v>42022</v>
      </c>
      <c r="F8" s="7">
        <v>6</v>
      </c>
      <c r="G8" s="6">
        <f t="shared" ca="1" si="1"/>
        <v>45856</v>
      </c>
      <c r="H8" s="9">
        <v>1</v>
      </c>
      <c r="I8" s="9">
        <v>1</v>
      </c>
      <c r="J8" s="9">
        <v>1</v>
      </c>
      <c r="K8" s="9">
        <v>1</v>
      </c>
      <c r="L8" s="9">
        <v>0</v>
      </c>
      <c r="M8" s="9">
        <v>1</v>
      </c>
      <c r="N8" s="9">
        <v>1</v>
      </c>
      <c r="O8" s="9">
        <v>0</v>
      </c>
      <c r="P8" s="9">
        <v>0</v>
      </c>
      <c r="Q8" s="9">
        <v>1</v>
      </c>
      <c r="R8" s="9">
        <v>1</v>
      </c>
      <c r="S8" s="9">
        <v>1</v>
      </c>
      <c r="T8" s="9">
        <v>1</v>
      </c>
      <c r="U8" s="9">
        <v>1</v>
      </c>
      <c r="V8" s="9">
        <v>1</v>
      </c>
      <c r="W8" s="9">
        <v>1</v>
      </c>
      <c r="X8" s="7" t="s">
        <v>99</v>
      </c>
      <c r="Y8" s="5">
        <v>0</v>
      </c>
      <c r="Z8" s="5">
        <v>0</v>
      </c>
      <c r="AA8" s="5">
        <v>0</v>
      </c>
      <c r="AB8" s="10">
        <f t="shared" si="2"/>
        <v>13</v>
      </c>
      <c r="AC8" s="10">
        <v>1</v>
      </c>
      <c r="AD8" s="10">
        <f t="shared" si="3"/>
        <v>39</v>
      </c>
      <c r="AE8">
        <f>COUNTIF(Prüfungsliste!AJ$4:AJ$23,MV!C8)</f>
        <v>0</v>
      </c>
      <c r="AF8">
        <f>COUNTIF(Prüfungsliste!G$4:G$23,MV!C8)</f>
        <v>0</v>
      </c>
      <c r="AG8" t="s">
        <v>164</v>
      </c>
      <c r="AH8" t="s">
        <v>177</v>
      </c>
      <c r="AI8" t="str">
        <f>""</f>
        <v/>
      </c>
      <c r="AJ8" t="s">
        <v>184</v>
      </c>
      <c r="AQ8" s="105" t="s">
        <v>148</v>
      </c>
      <c r="AR8" s="94">
        <v>45101</v>
      </c>
      <c r="AS8" s="91" t="s">
        <v>149</v>
      </c>
    </row>
    <row r="9" spans="1:45" x14ac:dyDescent="0.2">
      <c r="A9" s="8" t="s">
        <v>47</v>
      </c>
      <c r="B9" s="9" t="s">
        <v>49</v>
      </c>
      <c r="C9" s="9" t="s">
        <v>48</v>
      </c>
      <c r="D9" s="5">
        <v>12</v>
      </c>
      <c r="E9" s="6">
        <f t="shared" ca="1" si="0"/>
        <v>41657</v>
      </c>
      <c r="F9" s="7">
        <v>6</v>
      </c>
      <c r="G9" s="6">
        <f t="shared" ca="1" si="1"/>
        <v>45856</v>
      </c>
      <c r="H9" s="9">
        <v>1</v>
      </c>
      <c r="I9" s="9" t="s">
        <v>93</v>
      </c>
      <c r="J9" s="9" t="s">
        <v>93</v>
      </c>
      <c r="K9" s="9" t="s">
        <v>93</v>
      </c>
      <c r="L9" s="9">
        <v>1</v>
      </c>
      <c r="M9" s="9" t="s">
        <v>93</v>
      </c>
      <c r="N9" s="9" t="s">
        <v>93</v>
      </c>
      <c r="O9" s="9">
        <v>1</v>
      </c>
      <c r="P9" s="9">
        <v>0</v>
      </c>
      <c r="Q9" s="9">
        <v>1</v>
      </c>
      <c r="R9" s="9">
        <v>1</v>
      </c>
      <c r="S9" s="9">
        <v>1</v>
      </c>
      <c r="T9" s="9">
        <v>1</v>
      </c>
      <c r="U9" s="9">
        <v>1</v>
      </c>
      <c r="V9" s="9">
        <v>1</v>
      </c>
      <c r="W9" s="9">
        <v>1</v>
      </c>
      <c r="X9" s="7" t="s">
        <v>99</v>
      </c>
      <c r="Y9" s="5">
        <v>0</v>
      </c>
      <c r="Z9" s="5">
        <v>0</v>
      </c>
      <c r="AA9" s="5">
        <v>0</v>
      </c>
      <c r="AB9" s="10">
        <f t="shared" si="2"/>
        <v>10</v>
      </c>
      <c r="AC9" s="10">
        <v>1</v>
      </c>
      <c r="AD9" s="10">
        <f t="shared" si="3"/>
        <v>30</v>
      </c>
      <c r="AE9">
        <f>COUNTIF(Prüfungsliste!AJ$4:AJ$23,MV!C9)</f>
        <v>0</v>
      </c>
      <c r="AF9">
        <f>COUNTIF(Prüfungsliste!G$4:G$23,MV!C9)</f>
        <v>0</v>
      </c>
      <c r="AG9" t="s">
        <v>164</v>
      </c>
      <c r="AH9" t="s">
        <v>177</v>
      </c>
      <c r="AI9" t="s">
        <v>172</v>
      </c>
      <c r="AJ9" t="s">
        <v>183</v>
      </c>
      <c r="AQ9" s="58" t="s">
        <v>151</v>
      </c>
      <c r="AR9" s="94">
        <v>45108</v>
      </c>
      <c r="AS9" s="91" t="s">
        <v>150</v>
      </c>
    </row>
    <row r="10" spans="1:45" x14ac:dyDescent="0.2">
      <c r="A10" s="8" t="s">
        <v>48</v>
      </c>
      <c r="B10" s="9" t="s">
        <v>49</v>
      </c>
      <c r="C10" s="9" t="s">
        <v>49</v>
      </c>
      <c r="D10" s="5">
        <v>13</v>
      </c>
      <c r="E10" s="6">
        <f t="shared" ca="1" si="0"/>
        <v>41292</v>
      </c>
      <c r="F10" s="7">
        <v>6</v>
      </c>
      <c r="G10" s="6">
        <f t="shared" ca="1" si="1"/>
        <v>45856</v>
      </c>
      <c r="H10" s="9">
        <v>1</v>
      </c>
      <c r="I10" s="9">
        <v>1</v>
      </c>
      <c r="J10" s="9">
        <v>1</v>
      </c>
      <c r="K10" s="9">
        <v>1</v>
      </c>
      <c r="L10" s="9">
        <v>1</v>
      </c>
      <c r="M10" s="9">
        <v>1</v>
      </c>
      <c r="N10" s="9">
        <v>1</v>
      </c>
      <c r="O10" s="9">
        <v>1</v>
      </c>
      <c r="P10" s="9">
        <v>0</v>
      </c>
      <c r="Q10" s="9">
        <v>1</v>
      </c>
      <c r="R10" s="9">
        <v>1</v>
      </c>
      <c r="S10" s="9">
        <v>1</v>
      </c>
      <c r="T10" s="9">
        <v>1</v>
      </c>
      <c r="U10" s="9">
        <v>1</v>
      </c>
      <c r="V10" s="9">
        <v>1</v>
      </c>
      <c r="W10" s="9">
        <v>1</v>
      </c>
      <c r="X10" s="7" t="s">
        <v>99</v>
      </c>
      <c r="Y10" s="5">
        <v>0</v>
      </c>
      <c r="Z10" s="5">
        <v>0</v>
      </c>
      <c r="AA10" s="5">
        <v>0</v>
      </c>
      <c r="AB10" s="10">
        <f t="shared" si="2"/>
        <v>15</v>
      </c>
      <c r="AC10" s="10">
        <v>1</v>
      </c>
      <c r="AD10" s="10">
        <f t="shared" si="3"/>
        <v>45</v>
      </c>
      <c r="AE10">
        <f>COUNTIF(Prüfungsliste!AJ$4:AJ$23,MV!C10)</f>
        <v>0</v>
      </c>
      <c r="AF10">
        <f>COUNTIF(Prüfungsliste!G$4:G$23,MV!C10)</f>
        <v>0</v>
      </c>
      <c r="AG10" t="s">
        <v>165</v>
      </c>
      <c r="AH10" t="s">
        <v>178</v>
      </c>
      <c r="AI10" t="str">
        <f>""</f>
        <v/>
      </c>
      <c r="AJ10" t="s">
        <v>184</v>
      </c>
      <c r="AQ10" s="58" t="s">
        <v>192</v>
      </c>
      <c r="AR10" s="94">
        <v>45344</v>
      </c>
      <c r="AS10" s="91" t="s">
        <v>193</v>
      </c>
    </row>
    <row r="11" spans="1:45" x14ac:dyDescent="0.2">
      <c r="A11" s="8" t="s">
        <v>49</v>
      </c>
      <c r="B11" s="9" t="s">
        <v>51</v>
      </c>
      <c r="C11" s="9" t="s">
        <v>50</v>
      </c>
      <c r="D11" s="5">
        <v>13</v>
      </c>
      <c r="E11" s="6">
        <f t="shared" ca="1" si="0"/>
        <v>41292</v>
      </c>
      <c r="F11" s="7">
        <v>6</v>
      </c>
      <c r="G11" s="6">
        <f t="shared" ca="1" si="1"/>
        <v>45856</v>
      </c>
      <c r="H11" s="9">
        <v>1</v>
      </c>
      <c r="I11" s="9" t="s">
        <v>93</v>
      </c>
      <c r="J11" s="9" t="s">
        <v>93</v>
      </c>
      <c r="K11" s="9" t="s">
        <v>93</v>
      </c>
      <c r="L11" s="9">
        <v>1</v>
      </c>
      <c r="M11" s="9" t="s">
        <v>93</v>
      </c>
      <c r="N11" s="9" t="s">
        <v>93</v>
      </c>
      <c r="O11" s="9">
        <v>1</v>
      </c>
      <c r="P11" s="9">
        <v>0</v>
      </c>
      <c r="Q11" s="9">
        <v>1</v>
      </c>
      <c r="R11" s="9">
        <v>1</v>
      </c>
      <c r="S11" s="9">
        <v>1</v>
      </c>
      <c r="T11" s="9">
        <v>1</v>
      </c>
      <c r="U11" s="9">
        <v>1</v>
      </c>
      <c r="V11" s="9">
        <v>1</v>
      </c>
      <c r="W11" s="9">
        <v>1</v>
      </c>
      <c r="X11" s="7" t="s">
        <v>99</v>
      </c>
      <c r="Y11" s="5">
        <v>0</v>
      </c>
      <c r="Z11" s="5">
        <v>0</v>
      </c>
      <c r="AA11" s="5">
        <v>0</v>
      </c>
      <c r="AB11" s="10">
        <f t="shared" si="2"/>
        <v>10</v>
      </c>
      <c r="AC11" s="10">
        <v>1</v>
      </c>
      <c r="AD11" s="10">
        <f t="shared" si="3"/>
        <v>30</v>
      </c>
      <c r="AE11">
        <f>COUNTIF(Prüfungsliste!AJ$4:AJ$23,MV!C11)</f>
        <v>0</v>
      </c>
      <c r="AF11">
        <f>COUNTIF(Prüfungsliste!G$4:G$23,MV!C11)</f>
        <v>0</v>
      </c>
      <c r="AG11" t="s">
        <v>165</v>
      </c>
      <c r="AH11" t="s">
        <v>178</v>
      </c>
      <c r="AI11" t="s">
        <v>173</v>
      </c>
      <c r="AJ11" t="s">
        <v>183</v>
      </c>
      <c r="AQ11" s="149" t="s">
        <v>195</v>
      </c>
      <c r="AR11" s="94">
        <v>45455</v>
      </c>
      <c r="AS11" s="91" t="s">
        <v>196</v>
      </c>
    </row>
    <row r="12" spans="1:45" x14ac:dyDescent="0.2">
      <c r="A12" s="8" t="s">
        <v>50</v>
      </c>
      <c r="B12" s="9" t="s">
        <v>51</v>
      </c>
      <c r="C12" s="9" t="s">
        <v>51</v>
      </c>
      <c r="D12" s="5">
        <v>14</v>
      </c>
      <c r="E12" s="6">
        <f t="shared" ca="1" si="0"/>
        <v>40926</v>
      </c>
      <c r="F12" s="7">
        <v>6</v>
      </c>
      <c r="G12" s="6">
        <f t="shared" ca="1" si="1"/>
        <v>45856</v>
      </c>
      <c r="H12" s="9">
        <v>1</v>
      </c>
      <c r="I12" s="9">
        <v>1</v>
      </c>
      <c r="J12" s="9">
        <v>1</v>
      </c>
      <c r="K12" s="9">
        <v>1</v>
      </c>
      <c r="L12" s="9">
        <v>1</v>
      </c>
      <c r="M12" s="9">
        <v>1</v>
      </c>
      <c r="N12" s="9">
        <v>1</v>
      </c>
      <c r="O12" s="9">
        <v>1</v>
      </c>
      <c r="P12" s="9">
        <v>1</v>
      </c>
      <c r="Q12" s="9">
        <v>1</v>
      </c>
      <c r="R12" s="9">
        <v>1</v>
      </c>
      <c r="S12" s="9">
        <v>1</v>
      </c>
      <c r="T12" s="9">
        <v>1</v>
      </c>
      <c r="U12" s="9">
        <v>1</v>
      </c>
      <c r="V12" s="9">
        <v>1</v>
      </c>
      <c r="W12" s="9">
        <v>1</v>
      </c>
      <c r="X12" s="7" t="s">
        <v>99</v>
      </c>
      <c r="Y12" s="5">
        <v>0</v>
      </c>
      <c r="Z12" s="5">
        <v>0</v>
      </c>
      <c r="AA12" s="5">
        <v>0</v>
      </c>
      <c r="AB12" s="10">
        <f t="shared" si="2"/>
        <v>16</v>
      </c>
      <c r="AC12" s="10">
        <v>2</v>
      </c>
      <c r="AD12" s="10">
        <f t="shared" si="3"/>
        <v>48</v>
      </c>
      <c r="AE12">
        <f>COUNTIF(Prüfungsliste!AJ$4:AJ$23,MV!C12)</f>
        <v>0</v>
      </c>
      <c r="AF12">
        <f>COUNTIF(Prüfungsliste!G$4:G$23,MV!C12)</f>
        <v>0</v>
      </c>
      <c r="AG12" t="s">
        <v>166</v>
      </c>
      <c r="AH12" t="s">
        <v>179</v>
      </c>
      <c r="AI12" t="str">
        <f>""</f>
        <v/>
      </c>
      <c r="AJ12" t="s">
        <v>184</v>
      </c>
      <c r="AQ12" s="58" t="s">
        <v>197</v>
      </c>
      <c r="AR12" s="94">
        <v>45571</v>
      </c>
      <c r="AS12" s="91" t="s">
        <v>198</v>
      </c>
    </row>
    <row r="13" spans="1:45" x14ac:dyDescent="0.2">
      <c r="A13" s="8" t="s">
        <v>51</v>
      </c>
      <c r="B13" s="8" t="s">
        <v>53</v>
      </c>
      <c r="C13" s="9" t="s">
        <v>52</v>
      </c>
      <c r="D13" s="5">
        <v>14</v>
      </c>
      <c r="E13" s="6">
        <f t="shared" ca="1" si="0"/>
        <v>40926</v>
      </c>
      <c r="F13" s="7">
        <v>6</v>
      </c>
      <c r="G13" s="6">
        <f t="shared" ca="1" si="1"/>
        <v>45856</v>
      </c>
      <c r="H13" s="9">
        <v>0</v>
      </c>
      <c r="I13" s="9" t="s">
        <v>93</v>
      </c>
      <c r="J13" s="9" t="s">
        <v>93</v>
      </c>
      <c r="K13" s="9" t="s">
        <v>93</v>
      </c>
      <c r="L13" s="9">
        <v>1</v>
      </c>
      <c r="M13" s="9" t="s">
        <v>93</v>
      </c>
      <c r="N13" s="9" t="s">
        <v>93</v>
      </c>
      <c r="O13" s="9">
        <v>1</v>
      </c>
      <c r="P13" s="9">
        <v>1</v>
      </c>
      <c r="Q13" s="9">
        <v>1</v>
      </c>
      <c r="R13" s="9">
        <v>1</v>
      </c>
      <c r="S13" s="9">
        <v>1</v>
      </c>
      <c r="T13" s="9">
        <v>1</v>
      </c>
      <c r="U13" s="9">
        <v>0</v>
      </c>
      <c r="V13" s="9">
        <v>1</v>
      </c>
      <c r="W13" s="9">
        <v>1</v>
      </c>
      <c r="X13" s="7" t="s">
        <v>99</v>
      </c>
      <c r="Y13" s="5">
        <v>0</v>
      </c>
      <c r="Z13" s="5">
        <v>0</v>
      </c>
      <c r="AA13" s="5">
        <v>0</v>
      </c>
      <c r="AB13" s="10">
        <f t="shared" si="2"/>
        <v>9</v>
      </c>
      <c r="AC13" s="10">
        <v>2</v>
      </c>
      <c r="AD13" s="10">
        <f t="shared" si="3"/>
        <v>27</v>
      </c>
      <c r="AE13">
        <f>COUNTIF(Prüfungsliste!AJ$4:AJ$23,MV!C13)</f>
        <v>0</v>
      </c>
      <c r="AF13">
        <f>COUNTIF(Prüfungsliste!G$4:G$23,MV!C13)</f>
        <v>0</v>
      </c>
      <c r="AG13" t="s">
        <v>166</v>
      </c>
      <c r="AH13" t="s">
        <v>179</v>
      </c>
      <c r="AI13" t="s">
        <v>174</v>
      </c>
      <c r="AJ13" t="s">
        <v>183</v>
      </c>
      <c r="AQ13" s="149" t="s">
        <v>199</v>
      </c>
      <c r="AR13" s="94">
        <v>45955</v>
      </c>
      <c r="AS13" s="91" t="s">
        <v>202</v>
      </c>
    </row>
    <row r="14" spans="1:45" x14ac:dyDescent="0.2">
      <c r="A14" s="8" t="s">
        <v>56</v>
      </c>
      <c r="B14" s="8" t="s">
        <v>53</v>
      </c>
      <c r="C14" s="8" t="s">
        <v>53</v>
      </c>
      <c r="D14" s="5">
        <v>16</v>
      </c>
      <c r="E14" s="6">
        <f t="shared" ca="1" si="0"/>
        <v>40196</v>
      </c>
      <c r="F14" s="7">
        <v>12</v>
      </c>
      <c r="G14" s="6">
        <f t="shared" ca="1" si="1"/>
        <v>45675</v>
      </c>
      <c r="H14" s="9">
        <v>0</v>
      </c>
      <c r="I14" s="9">
        <v>1</v>
      </c>
      <c r="J14" s="9">
        <v>1</v>
      </c>
      <c r="K14" s="9">
        <v>1</v>
      </c>
      <c r="L14" s="9">
        <v>1</v>
      </c>
      <c r="M14" s="9">
        <v>1</v>
      </c>
      <c r="N14" s="9">
        <v>1</v>
      </c>
      <c r="O14" s="9">
        <v>1</v>
      </c>
      <c r="P14" s="9">
        <v>1</v>
      </c>
      <c r="Q14" s="9">
        <v>1</v>
      </c>
      <c r="R14" s="9">
        <v>1</v>
      </c>
      <c r="S14" s="9">
        <v>1</v>
      </c>
      <c r="T14" s="9">
        <v>1</v>
      </c>
      <c r="U14" s="9">
        <v>0</v>
      </c>
      <c r="V14" s="9">
        <v>1</v>
      </c>
      <c r="W14" s="9">
        <v>1</v>
      </c>
      <c r="X14" s="5">
        <v>1</v>
      </c>
      <c r="Y14" s="5">
        <v>0</v>
      </c>
      <c r="Z14" s="5">
        <v>0</v>
      </c>
      <c r="AA14" s="5">
        <v>0</v>
      </c>
      <c r="AB14" s="10">
        <f t="shared" si="2"/>
        <v>14</v>
      </c>
      <c r="AC14" s="10">
        <v>2</v>
      </c>
      <c r="AD14" s="10">
        <f t="shared" si="3"/>
        <v>42</v>
      </c>
      <c r="AE14">
        <f>COUNTIF(Prüfungsliste!AJ$4:AJ$23,MV!C14)</f>
        <v>0</v>
      </c>
      <c r="AF14">
        <f>COUNTIF(Prüfungsliste!G$4:G$23,MV!C14)</f>
        <v>0</v>
      </c>
      <c r="AG14" t="s">
        <v>167</v>
      </c>
      <c r="AH14" t="s">
        <v>180</v>
      </c>
      <c r="AI14" t="str">
        <f>""</f>
        <v/>
      </c>
      <c r="AJ14" t="s">
        <v>184</v>
      </c>
      <c r="AQ14" s="151" t="s">
        <v>203</v>
      </c>
      <c r="AR14" s="94">
        <v>46040</v>
      </c>
      <c r="AS14" s="152" t="s">
        <v>204</v>
      </c>
    </row>
    <row r="15" spans="1:45" x14ac:dyDescent="0.2">
      <c r="A15" s="8" t="s">
        <v>53</v>
      </c>
      <c r="B15" s="8" t="s">
        <v>38</v>
      </c>
      <c r="C15" s="8" t="s">
        <v>38</v>
      </c>
      <c r="D15" s="5">
        <v>18</v>
      </c>
      <c r="E15" s="6">
        <f t="shared" ca="1" si="0"/>
        <v>39465</v>
      </c>
      <c r="F15" s="7">
        <v>12</v>
      </c>
      <c r="G15" s="6">
        <f t="shared" ca="1" si="1"/>
        <v>45675</v>
      </c>
      <c r="H15" s="9">
        <v>0</v>
      </c>
      <c r="I15" s="9">
        <v>1</v>
      </c>
      <c r="J15" s="9">
        <v>1</v>
      </c>
      <c r="K15" s="9">
        <v>1</v>
      </c>
      <c r="L15" s="9">
        <v>1</v>
      </c>
      <c r="M15" s="9">
        <v>1</v>
      </c>
      <c r="N15" s="9">
        <v>1</v>
      </c>
      <c r="O15" s="9">
        <v>1</v>
      </c>
      <c r="P15" s="9">
        <v>1</v>
      </c>
      <c r="Q15" s="9">
        <v>1</v>
      </c>
      <c r="R15" s="9">
        <v>1</v>
      </c>
      <c r="S15" s="9">
        <v>1</v>
      </c>
      <c r="T15" s="9">
        <v>1</v>
      </c>
      <c r="U15" s="9">
        <v>0</v>
      </c>
      <c r="V15" s="9">
        <v>1</v>
      </c>
      <c r="W15" s="9">
        <v>1</v>
      </c>
      <c r="X15" s="5">
        <v>1</v>
      </c>
      <c r="Y15" s="5">
        <v>1</v>
      </c>
      <c r="Z15" s="5">
        <v>1</v>
      </c>
      <c r="AA15" s="5">
        <v>1</v>
      </c>
      <c r="AB15" s="10">
        <f t="shared" si="2"/>
        <v>14</v>
      </c>
      <c r="AC15" s="10">
        <v>3</v>
      </c>
      <c r="AD15" s="10">
        <f t="shared" si="3"/>
        <v>42</v>
      </c>
      <c r="AE15">
        <f>COUNTIF(Prüfungsliste!AJ$4:AJ$23,MV!C15)</f>
        <v>0</v>
      </c>
      <c r="AF15">
        <f>COUNTIF(Prüfungsliste!G$4:G$23,MV!C15)</f>
        <v>0</v>
      </c>
      <c r="AG15" t="s">
        <v>167</v>
      </c>
      <c r="AH15" t="s">
        <v>181</v>
      </c>
      <c r="AI15">
        <v>1</v>
      </c>
      <c r="AJ15" t="s">
        <v>185</v>
      </c>
    </row>
    <row r="16" spans="1:45" x14ac:dyDescent="0.2">
      <c r="A16" s="8" t="s">
        <v>38</v>
      </c>
      <c r="B16" s="8" t="s">
        <v>39</v>
      </c>
      <c r="C16" s="8" t="s">
        <v>39</v>
      </c>
      <c r="D16" s="8"/>
      <c r="E16" s="6"/>
      <c r="F16" s="7">
        <v>24</v>
      </c>
      <c r="G16" s="6">
        <f t="shared" ca="1" si="1"/>
        <v>45309</v>
      </c>
      <c r="H16" s="9">
        <v>0</v>
      </c>
      <c r="I16" s="9">
        <v>1</v>
      </c>
      <c r="J16" s="9">
        <v>1</v>
      </c>
      <c r="K16" s="9">
        <v>1</v>
      </c>
      <c r="L16" s="9">
        <v>1</v>
      </c>
      <c r="M16" s="9">
        <v>1</v>
      </c>
      <c r="N16" s="9">
        <v>1</v>
      </c>
      <c r="O16" s="9">
        <v>1</v>
      </c>
      <c r="P16" s="9">
        <v>1</v>
      </c>
      <c r="Q16" s="9">
        <v>1</v>
      </c>
      <c r="R16" s="9">
        <v>1</v>
      </c>
      <c r="S16" s="9">
        <v>1</v>
      </c>
      <c r="T16" s="9">
        <v>1</v>
      </c>
      <c r="U16" s="9">
        <v>0</v>
      </c>
      <c r="V16" s="9">
        <v>1</v>
      </c>
      <c r="W16" s="9">
        <v>1</v>
      </c>
      <c r="X16" s="5">
        <v>1</v>
      </c>
      <c r="Y16" s="5">
        <v>1</v>
      </c>
      <c r="Z16" s="5">
        <v>1</v>
      </c>
      <c r="AA16" s="5">
        <v>0</v>
      </c>
      <c r="AB16" s="10">
        <f t="shared" si="2"/>
        <v>14</v>
      </c>
      <c r="AC16" s="10">
        <v>3</v>
      </c>
      <c r="AD16" s="10">
        <f t="shared" si="3"/>
        <v>42</v>
      </c>
      <c r="AE16">
        <f>COUNTIF(Prüfungsliste!AJ$4:AJ$23,MV!C16)</f>
        <v>0</v>
      </c>
      <c r="AF16">
        <f>COUNTIF(Prüfungsliste!G$4:G$23,MV!C16)</f>
        <v>0</v>
      </c>
      <c r="AG16" t="s">
        <v>166</v>
      </c>
      <c r="AH16" t="s">
        <v>181</v>
      </c>
      <c r="AI16" s="91">
        <v>2</v>
      </c>
      <c r="AJ16" t="s">
        <v>185</v>
      </c>
    </row>
    <row r="17" spans="1:42" x14ac:dyDescent="0.2">
      <c r="A17" s="8" t="s">
        <v>39</v>
      </c>
      <c r="B17" s="8" t="s">
        <v>40</v>
      </c>
      <c r="C17" s="8" t="s">
        <v>40</v>
      </c>
      <c r="D17" s="8"/>
      <c r="E17" s="6"/>
      <c r="F17" s="7">
        <v>36</v>
      </c>
      <c r="G17" s="6">
        <f t="shared" ca="1" si="1"/>
        <v>44944</v>
      </c>
      <c r="H17" s="9">
        <v>0</v>
      </c>
      <c r="I17" s="9">
        <v>1</v>
      </c>
      <c r="J17" s="9">
        <v>0</v>
      </c>
      <c r="K17" s="9">
        <v>1</v>
      </c>
      <c r="L17" s="9">
        <v>1</v>
      </c>
      <c r="M17" s="9">
        <v>1</v>
      </c>
      <c r="N17" s="9">
        <v>1</v>
      </c>
      <c r="O17" s="9">
        <v>1</v>
      </c>
      <c r="P17" s="9">
        <v>1</v>
      </c>
      <c r="Q17" s="9">
        <v>1</v>
      </c>
      <c r="R17" s="9">
        <v>1</v>
      </c>
      <c r="S17" s="9">
        <v>1</v>
      </c>
      <c r="T17" s="9">
        <v>1</v>
      </c>
      <c r="U17" s="9">
        <v>0</v>
      </c>
      <c r="V17" s="9">
        <v>1</v>
      </c>
      <c r="W17" s="9">
        <v>1</v>
      </c>
      <c r="X17" s="5">
        <v>1</v>
      </c>
      <c r="Y17" s="5">
        <v>1</v>
      </c>
      <c r="Z17" s="5">
        <v>1</v>
      </c>
      <c r="AA17" s="5">
        <v>0</v>
      </c>
      <c r="AB17" s="10">
        <f t="shared" si="2"/>
        <v>13</v>
      </c>
      <c r="AC17" s="10">
        <v>3</v>
      </c>
      <c r="AD17" s="10">
        <f t="shared" si="3"/>
        <v>39</v>
      </c>
      <c r="AE17">
        <f>COUNTIF(Prüfungsliste!AJ$4:AJ$23,MV!C17)</f>
        <v>0</v>
      </c>
      <c r="AF17">
        <f>COUNTIF(Prüfungsliste!G$4:G$23,MV!C17)</f>
        <v>0</v>
      </c>
      <c r="AG17" t="s">
        <v>165</v>
      </c>
      <c r="AH17" t="s">
        <v>181</v>
      </c>
      <c r="AI17" s="91">
        <v>3</v>
      </c>
      <c r="AJ17" t="s">
        <v>185</v>
      </c>
    </row>
    <row r="18" spans="1:42" x14ac:dyDescent="0.2">
      <c r="A18" s="8" t="s">
        <v>40</v>
      </c>
      <c r="B18" s="8" t="s">
        <v>41</v>
      </c>
      <c r="C18" s="8" t="s">
        <v>41</v>
      </c>
      <c r="D18" s="8"/>
      <c r="E18" s="6"/>
      <c r="F18" s="7">
        <v>48</v>
      </c>
      <c r="G18" s="6">
        <f t="shared" ca="1" si="1"/>
        <v>44579</v>
      </c>
      <c r="H18" s="9">
        <v>0</v>
      </c>
      <c r="I18" s="9">
        <v>1</v>
      </c>
      <c r="J18" s="9">
        <v>0</v>
      </c>
      <c r="K18" s="9">
        <v>1</v>
      </c>
      <c r="L18" s="9">
        <v>1</v>
      </c>
      <c r="M18" s="9">
        <v>1</v>
      </c>
      <c r="N18" s="9">
        <v>1</v>
      </c>
      <c r="O18" s="9">
        <v>1</v>
      </c>
      <c r="P18" s="9">
        <v>1</v>
      </c>
      <c r="Q18" s="9">
        <v>1</v>
      </c>
      <c r="R18" s="9">
        <v>1</v>
      </c>
      <c r="S18" s="9">
        <v>1</v>
      </c>
      <c r="T18" s="9">
        <v>1</v>
      </c>
      <c r="U18" s="9">
        <v>0</v>
      </c>
      <c r="V18" s="9">
        <v>1</v>
      </c>
      <c r="W18" s="9">
        <v>1</v>
      </c>
      <c r="X18" s="5">
        <v>1</v>
      </c>
      <c r="Y18" s="5">
        <v>1</v>
      </c>
      <c r="Z18" s="5">
        <v>1</v>
      </c>
      <c r="AA18" s="5">
        <v>0</v>
      </c>
      <c r="AB18" s="10">
        <f t="shared" si="2"/>
        <v>13</v>
      </c>
      <c r="AC18" s="10">
        <v>3</v>
      </c>
      <c r="AD18" s="10">
        <f t="shared" si="3"/>
        <v>39</v>
      </c>
      <c r="AE18">
        <f>COUNTIF(Prüfungsliste!AJ$4:AJ$23,MV!C18)</f>
        <v>0</v>
      </c>
      <c r="AF18">
        <f>COUNTIF(Prüfungsliste!G$4:G$23,MV!C18)</f>
        <v>0</v>
      </c>
      <c r="AG18" t="s">
        <v>164</v>
      </c>
      <c r="AH18" t="s">
        <v>181</v>
      </c>
      <c r="AI18" s="91">
        <v>4</v>
      </c>
      <c r="AJ18" t="s">
        <v>185</v>
      </c>
    </row>
    <row r="19" spans="1:42" x14ac:dyDescent="0.2">
      <c r="A19" s="8" t="s">
        <v>41</v>
      </c>
      <c r="B19" s="8" t="s">
        <v>54</v>
      </c>
      <c r="C19" s="8" t="s">
        <v>54</v>
      </c>
      <c r="D19" s="8"/>
      <c r="E19" s="6"/>
      <c r="F19" s="7">
        <v>60</v>
      </c>
      <c r="G19" s="6">
        <f t="shared" ca="1" si="1"/>
        <v>44214</v>
      </c>
      <c r="H19" s="9">
        <v>0</v>
      </c>
      <c r="I19" s="9">
        <v>1</v>
      </c>
      <c r="J19" s="9">
        <v>1</v>
      </c>
      <c r="K19" s="9">
        <v>1</v>
      </c>
      <c r="L19" s="9">
        <v>1</v>
      </c>
      <c r="M19" s="9">
        <v>1</v>
      </c>
      <c r="N19" s="9">
        <v>1</v>
      </c>
      <c r="O19" s="9">
        <v>1</v>
      </c>
      <c r="P19" s="9">
        <v>1</v>
      </c>
      <c r="Q19" s="9">
        <v>1</v>
      </c>
      <c r="R19" s="9">
        <v>1</v>
      </c>
      <c r="S19" s="9">
        <v>1</v>
      </c>
      <c r="T19" s="9">
        <v>1</v>
      </c>
      <c r="U19" s="9">
        <v>0</v>
      </c>
      <c r="V19" s="9">
        <v>1</v>
      </c>
      <c r="W19" s="9">
        <v>1</v>
      </c>
      <c r="X19" s="5">
        <v>1</v>
      </c>
      <c r="Y19" s="5">
        <v>1</v>
      </c>
      <c r="Z19" s="5">
        <v>1</v>
      </c>
      <c r="AA19" s="5">
        <v>0</v>
      </c>
      <c r="AB19" s="10">
        <f t="shared" si="2"/>
        <v>14</v>
      </c>
      <c r="AC19" s="10">
        <v>3</v>
      </c>
      <c r="AD19" s="10">
        <f t="shared" si="3"/>
        <v>42</v>
      </c>
      <c r="AE19">
        <f>COUNTIF(Prüfungsliste!AJ$4:AJ$23,MV!C19)</f>
        <v>0</v>
      </c>
      <c r="AF19">
        <f>COUNTIF(Prüfungsliste!G$4:G$23,MV!C19)</f>
        <v>0</v>
      </c>
      <c r="AG19" t="s">
        <v>163</v>
      </c>
      <c r="AH19" t="s">
        <v>181</v>
      </c>
      <c r="AI19" s="91">
        <v>5</v>
      </c>
      <c r="AJ19" t="s">
        <v>185</v>
      </c>
    </row>
    <row r="20" spans="1:42" x14ac:dyDescent="0.2">
      <c r="E20" s="1" t="s">
        <v>110</v>
      </c>
      <c r="AD20" t="s">
        <v>122</v>
      </c>
    </row>
    <row r="21" spans="1:42" x14ac:dyDescent="0.2">
      <c r="E21" s="6">
        <f ca="1">DATE(YEAR(PTag)-15,MONTH(PTag),DAY(PTag))</f>
        <v>40561</v>
      </c>
      <c r="AD21" t="s">
        <v>115</v>
      </c>
      <c r="AF21" t="b">
        <f>(SUM(AF3:AF14)&gt;0)</f>
        <v>0</v>
      </c>
      <c r="AP21" t="s">
        <v>130</v>
      </c>
    </row>
    <row r="22" spans="1:42" x14ac:dyDescent="0.2">
      <c r="AD22" t="s">
        <v>116</v>
      </c>
      <c r="AF22" t="b">
        <f>(SUM(AF15:AF19)&gt;0)</f>
        <v>0</v>
      </c>
      <c r="AP22" t="s">
        <v>131</v>
      </c>
    </row>
    <row r="24" spans="1:42" x14ac:dyDescent="0.2">
      <c r="E24" s="58"/>
    </row>
    <row r="25" spans="1:42" x14ac:dyDescent="0.2">
      <c r="AD25" t="s">
        <v>154</v>
      </c>
    </row>
    <row r="26" spans="1:42" x14ac:dyDescent="0.2">
      <c r="AD26">
        <v>1</v>
      </c>
      <c r="AE26">
        <v>2</v>
      </c>
      <c r="AF26">
        <v>3</v>
      </c>
      <c r="AG26">
        <v>4</v>
      </c>
      <c r="AH26">
        <v>5</v>
      </c>
      <c r="AI26">
        <v>6</v>
      </c>
      <c r="AJ26">
        <v>7</v>
      </c>
    </row>
    <row r="27" spans="1:42" x14ac:dyDescent="0.2">
      <c r="AC27">
        <v>0</v>
      </c>
      <c r="AD27">
        <v>6</v>
      </c>
      <c r="AE27">
        <v>14</v>
      </c>
      <c r="AF27">
        <v>18</v>
      </c>
      <c r="AG27">
        <v>26</v>
      </c>
      <c r="AH27">
        <v>40</v>
      </c>
      <c r="AI27">
        <v>60</v>
      </c>
      <c r="AJ27" s="106">
        <v>999</v>
      </c>
    </row>
    <row r="28" spans="1:42" x14ac:dyDescent="0.2">
      <c r="AC28">
        <v>0</v>
      </c>
      <c r="AD28">
        <v>1</v>
      </c>
      <c r="AE28">
        <v>2</v>
      </c>
      <c r="AF28">
        <v>3</v>
      </c>
      <c r="AG28">
        <v>4</v>
      </c>
      <c r="AH28">
        <v>5</v>
      </c>
      <c r="AI28">
        <v>6</v>
      </c>
      <c r="AJ28">
        <v>7</v>
      </c>
    </row>
  </sheetData>
  <sheetProtection sheet="1" objects="1" scenarios="1"/>
  <phoneticPr fontId="3" type="noConversion"/>
  <pageMargins left="0.78740157499999996" right="0.78740157499999996" top="0.984251969" bottom="0.984251969" header="0.4921259845" footer="0.4921259845"/>
  <pageSetup paperSize="9" orientation="portrait" horizontalDpi="360" verticalDpi="36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Z23"/>
  <sheetViews>
    <sheetView workbookViewId="0">
      <selection activeCell="Z4" sqref="Z4"/>
    </sheetView>
  </sheetViews>
  <sheetFormatPr baseColWidth="10" defaultRowHeight="12.75" x14ac:dyDescent="0.2"/>
  <cols>
    <col min="1" max="1" width="12.7109375" bestFit="1" customWidth="1"/>
    <col min="2" max="2" width="12.7109375" customWidth="1"/>
    <col min="18" max="19" width="3.140625" customWidth="1"/>
    <col min="20" max="20" width="7.85546875" bestFit="1" customWidth="1"/>
    <col min="21" max="21" width="3.140625" customWidth="1"/>
    <col min="22" max="22" width="7.85546875" bestFit="1" customWidth="1"/>
    <col min="23" max="23" width="3.140625" customWidth="1"/>
    <col min="24" max="24" width="7.85546875" bestFit="1" customWidth="1"/>
  </cols>
  <sheetData>
    <row r="1" spans="1:26" x14ac:dyDescent="0.2">
      <c r="A1" t="s">
        <v>107</v>
      </c>
      <c r="C1" t="s">
        <v>109</v>
      </c>
      <c r="D1" t="s">
        <v>120</v>
      </c>
    </row>
    <row r="2" spans="1:26" x14ac:dyDescent="0.2">
      <c r="A2">
        <v>15</v>
      </c>
      <c r="C2">
        <v>14</v>
      </c>
      <c r="D2">
        <v>5</v>
      </c>
    </row>
    <row r="3" spans="1:26" ht="63.75" x14ac:dyDescent="0.2">
      <c r="A3" s="13" t="s">
        <v>106</v>
      </c>
      <c r="B3" s="13" t="s">
        <v>111</v>
      </c>
      <c r="C3" s="13" t="s">
        <v>108</v>
      </c>
      <c r="D3" s="13" t="s">
        <v>121</v>
      </c>
      <c r="E3" s="13" t="s">
        <v>119</v>
      </c>
      <c r="F3" s="13" t="s">
        <v>112</v>
      </c>
      <c r="G3" s="13" t="s">
        <v>113</v>
      </c>
      <c r="H3" s="13" t="s">
        <v>114</v>
      </c>
      <c r="I3" s="13" t="s">
        <v>117</v>
      </c>
      <c r="J3" s="13" t="s">
        <v>118</v>
      </c>
      <c r="K3" s="13" t="s">
        <v>134</v>
      </c>
      <c r="L3" s="13" t="s">
        <v>135</v>
      </c>
      <c r="M3" s="13" t="s">
        <v>133</v>
      </c>
      <c r="N3" s="91" t="s">
        <v>157</v>
      </c>
      <c r="O3" s="91" t="s">
        <v>155</v>
      </c>
      <c r="P3" s="107" t="s">
        <v>158</v>
      </c>
      <c r="Q3" s="107" t="s">
        <v>182</v>
      </c>
      <c r="R3" s="107"/>
      <c r="S3" s="107"/>
      <c r="U3" s="107"/>
      <c r="W3" s="107"/>
      <c r="Y3" s="13" t="s">
        <v>186</v>
      </c>
      <c r="Z3" t="s">
        <v>156</v>
      </c>
    </row>
    <row r="4" spans="1:26" x14ac:dyDescent="0.2">
      <c r="A4" s="11" t="b">
        <f ca="1">AND(Prüfungsliste!D4&lt;&gt;"",Prüfungsliste!D4&gt;Kinderprüfungsgrenze)</f>
        <v>0</v>
      </c>
      <c r="B4" s="12" t="str">
        <f>IF(Prüfungsliste!$F4&lt;&gt;"",VLOOKUP(Prüfungsliste!$F4,nstGrad,IF(A4,3,2),FALSE),"")</f>
        <v/>
      </c>
      <c r="C4" t="b">
        <f>IF(Prüfungsliste!G4&lt;&gt;"",OR(VLOOKUP(Prüfungsliste!G4,nst,3,FALSE)="",VLOOKUP(Prüfungsliste!G4,nst,3,FALSE)&gt;=DATE(YEAR(Prüfungsliste!D4),MONTH(Prüfungsliste!D4),DAY(Prüfungsliste!D4)-C$2)),TRUE)</f>
        <v>1</v>
      </c>
      <c r="D4" t="str">
        <f t="shared" ref="D4:D23" si="0">IF(B4&lt;&gt;"",VLOOKUP(B4,nst,4,FALSE)*D$2*30/100,"")</f>
        <v/>
      </c>
      <c r="E4" t="b">
        <f>IF(Prüfungsliste!G4&lt;&gt;"",OR(VLOOKUP(Prüfungsliste!G4,nst,5,FALSE)="",VLOOKUP(Prüfungsliste!G4,nst,5,FALSE)&gt;=DATE(YEAR(Prüfungsliste!E4),MONTH(Prüfungsliste!E4),DAY(Prüfungsliste!E4)-D4)),TRUE)</f>
        <v>1</v>
      </c>
      <c r="F4" t="str">
        <f>IF(Prüfungsliste!G4&lt;&gt;"",
 IF(Prüfungsliste!AB4=2,
  VLOOKUP(Prüfungsliste!G4,nst,28,FALSE)*2,
  VLOOKUP(Prüfungsliste!G4,nst,28,FALSE)),
 "")</f>
        <v/>
      </c>
      <c r="G4" t="b">
        <f>IF(Prüfungsliste!G4&lt;&gt;"",OR(VLOOKUP(Prüfungsliste!$G4,nst,26,FALSE)=COUNT(Prüfungsliste!H4:'Prüfungsliste'!W4),ZE!M4),FALSE)</f>
        <v>0</v>
      </c>
      <c r="H4" t="b">
        <f>IF(Prüfungsliste!G4&lt;&gt;"",AND(G4,IF(Prüfungsliste!AB4=1,TRUE,IF(Prüfungsliste!AB4=2,Prüfungsliste!AE4&gt;0,IF(Prüfungsliste!AB4=3,AND(Prüfungsliste!AF4&lt;&gt;"",Prüfungsliste!AG4&lt;&gt;""),FALSE)))),FALSE)</f>
        <v>0</v>
      </c>
      <c r="I4" t="b">
        <f>IF(Prüfungsliste!AB4=2,
 TRUE,
 AND(NOT(M4),
  Prüfungsliste!AD4&gt;=F4))</f>
        <v>1</v>
      </c>
      <c r="J4" t="b">
        <f>IF(Prüfungsliste!AB4=1,
 I4,
 IF(Prüfungsliste!AB4=2,
  Prüfungsliste!AE4+Prüfungsliste!AD4&gt;=F4,
  IF(Prüfungsliste!AB4=3,
   IF(I4,1,0)+IF(Prüfungsliste!AF4="B",1,0)+IF(Prüfungsliste!AG4="B",1,0)&gt;=2,
   FALSE)))</f>
        <v>0</v>
      </c>
      <c r="K4" t="b">
        <f>IF(OR(Prüfungsliste!AB4=1,Prüfungsliste!AB4=3),COUNTIF(Prüfungsliste!H4:W4,1)&gt;=1,FALSE)</f>
        <v>0</v>
      </c>
      <c r="L4" t="b">
        <f>IF(AND(Prüfungsliste!G4="5. Dan",Prüfungsliste!T4&lt;&gt;""),OR(AND(Prüfungsliste!T4&lt;=2,OR(Prüfungsliste!AF4="NB",Prüfungsliste!AG4="NB")),AND(Prüfungsliste!AF4="NB",Prüfungsliste!AG4="NB")),FALSE)</f>
        <v>0</v>
      </c>
      <c r="M4" t="b">
        <f>OR(ZE!K4,ZE!L4)</f>
        <v>0</v>
      </c>
      <c r="N4" t="str">
        <f>IF(Prüfungsliste!D4&lt;&gt;"",YEARFRAC(PTag,Prüfungsliste!D4),"")</f>
        <v/>
      </c>
      <c r="O4" t="str">
        <f t="shared" ref="O4:O23" si="1">IF(N4&lt;&gt;"",HLOOKUP(N4,AStufe,2,TRUE)+1,"")</f>
        <v/>
      </c>
      <c r="P4" t="str">
        <f>Prüfungsliste!G4&amp;O4&amp;Prüfungsliste!AI4</f>
        <v/>
      </c>
      <c r="Q4" t="str">
        <f>IF(Prüfungsliste!G4&lt;&gt;"",VLOOKUP(Prüfungsliste!G4,nst,34,FALSE),"")</f>
        <v/>
      </c>
      <c r="Y4" t="str">
        <f>IF(Prüfungsliste!B4&lt;&gt;"",TRIM(IF(FIND(",",Prüfungsliste!B4&amp;",",1)&lt;LEN(Prüfungsliste!B4)+1,RIGHT(Prüfungsliste!B4,LEN(Prüfungsliste!B4)-FIND(",",Prüfungsliste!B4,1))&amp;" "&amp;LEFT(Prüfungsliste!B4,FIND(",",Prüfungsliste!B4,1)-1),Prüfungsliste!B4)),"")</f>
        <v/>
      </c>
      <c r="Z4" t="b">
        <f>OR(Prüfungsliste!AI4="B",Prüfungsliste!AI4="")</f>
        <v>1</v>
      </c>
    </row>
    <row r="5" spans="1:26" x14ac:dyDescent="0.2">
      <c r="A5" s="11" t="b">
        <f ca="1">AND(Prüfungsliste!D5&lt;&gt;"",Prüfungsliste!D5&gt;Kinderprüfungsgrenze)</f>
        <v>0</v>
      </c>
      <c r="B5" s="12" t="str">
        <f>IF(Prüfungsliste!$F5&lt;&gt;"",VLOOKUP(Prüfungsliste!$F5,nstGrad,IF(A5,3,2),FALSE),"")</f>
        <v/>
      </c>
      <c r="C5" t="b">
        <f>IF(Prüfungsliste!G5&lt;&gt;"",OR(VLOOKUP(Prüfungsliste!G5,nst,3,FALSE)="",VLOOKUP(Prüfungsliste!G5,nst,3,FALSE)&gt;=DATE(YEAR(Prüfungsliste!D5),MONTH(Prüfungsliste!D5),DAY(Prüfungsliste!D5)-C$2)),TRUE)</f>
        <v>1</v>
      </c>
      <c r="D5" t="str">
        <f t="shared" si="0"/>
        <v/>
      </c>
      <c r="E5" t="b">
        <f>IF(Prüfungsliste!G5&lt;&gt;"",OR(VLOOKUP(Prüfungsliste!G5,nst,5,FALSE)="",VLOOKUP(Prüfungsliste!G5,nst,5,FALSE)&gt;=DATE(YEAR(Prüfungsliste!E5),MONTH(Prüfungsliste!E5),DAY(Prüfungsliste!E5)-D5)),TRUE)</f>
        <v>1</v>
      </c>
      <c r="F5" t="str">
        <f>IF(Prüfungsliste!G5&lt;&gt;"",
 IF(Prüfungsliste!AB5=2,
  VLOOKUP(Prüfungsliste!G5,nst,28,FALSE)*2,
  VLOOKUP(Prüfungsliste!G5,nst,28,FALSE)),
 "")</f>
        <v/>
      </c>
      <c r="G5" t="b">
        <f>IF(Prüfungsliste!G5&lt;&gt;"",OR(VLOOKUP(Prüfungsliste!$G5,nst,26,FALSE)=COUNT(Prüfungsliste!H5:'Prüfungsliste'!W5),ZE!M5),FALSE)</f>
        <v>0</v>
      </c>
      <c r="H5" t="b">
        <f>IF(Prüfungsliste!G5&lt;&gt;"",AND(G5,IF(Prüfungsliste!AB5=1,TRUE,IF(Prüfungsliste!AB5=2,Prüfungsliste!AE5&gt;0,IF(Prüfungsliste!AB5=3,AND(Prüfungsliste!AF5&lt;&gt;"",Prüfungsliste!AG5&lt;&gt;""),FALSE)))),FALSE)</f>
        <v>0</v>
      </c>
      <c r="I5" t="b">
        <f>IF(Prüfungsliste!AB5=2,
 TRUE,
 AND(NOT(M5),
  Prüfungsliste!AD5&gt;=F5))</f>
        <v>1</v>
      </c>
      <c r="J5" t="b">
        <f>IF(Prüfungsliste!AB5=1,
 I5,
 IF(Prüfungsliste!AB5=2,
  Prüfungsliste!AE5+Prüfungsliste!AD5&gt;=F5,
  IF(Prüfungsliste!AB5=3,
   IF(I5,1,0)+IF(Prüfungsliste!AF5="B",1,0)+IF(Prüfungsliste!AG5="B",1,0)&gt;=2,
   FALSE)))</f>
        <v>0</v>
      </c>
      <c r="K5" t="b">
        <f>IF(OR(Prüfungsliste!AB5=1,Prüfungsliste!AB5=3),COUNTIF(Prüfungsliste!H5:W5,1)&gt;=1,FALSE)</f>
        <v>0</v>
      </c>
      <c r="L5" t="b">
        <f>IF(AND(Prüfungsliste!G5="5. Dan",Prüfungsliste!T5&lt;&gt;""),OR(AND(Prüfungsliste!T5&lt;=2,OR(Prüfungsliste!AF5="NB",Prüfungsliste!AG5="NB")),AND(Prüfungsliste!AF5="NB",Prüfungsliste!AG5="NB")),FALSE)</f>
        <v>0</v>
      </c>
      <c r="M5" t="b">
        <f>OR(ZE!K5,ZE!L5)</f>
        <v>0</v>
      </c>
      <c r="N5" t="str">
        <f>IF(Prüfungsliste!D5&lt;&gt;"",YEARFRAC(PTag,Prüfungsliste!D5),"")</f>
        <v/>
      </c>
      <c r="O5" t="str">
        <f t="shared" si="1"/>
        <v/>
      </c>
      <c r="P5" t="str">
        <f>Prüfungsliste!G5&amp;O5&amp;Prüfungsliste!AI5</f>
        <v/>
      </c>
      <c r="Q5" t="str">
        <f>IF(Prüfungsliste!G5&lt;&gt;"",VLOOKUP(Prüfungsliste!G5,nst,34,FALSE),"")</f>
        <v/>
      </c>
      <c r="Y5" t="str">
        <f>IF(Prüfungsliste!B5&lt;&gt;"",TRIM(IF(FIND(",",Prüfungsliste!B5&amp;",",1)&lt;LEN(Prüfungsliste!B5)+1,RIGHT(Prüfungsliste!B5,LEN(Prüfungsliste!B5)-FIND(",",Prüfungsliste!B5,1))&amp;" "&amp;LEFT(Prüfungsliste!B5,FIND(",",Prüfungsliste!B5,1)-1),Prüfungsliste!B5)),"")</f>
        <v/>
      </c>
      <c r="Z5" t="b">
        <f>OR(Prüfungsliste!AI5="B",Prüfungsliste!AI5="")</f>
        <v>1</v>
      </c>
    </row>
    <row r="6" spans="1:26" x14ac:dyDescent="0.2">
      <c r="A6" s="11" t="b">
        <f ca="1">AND(Prüfungsliste!D6&lt;&gt;"",Prüfungsliste!D6&gt;Kinderprüfungsgrenze)</f>
        <v>0</v>
      </c>
      <c r="B6" s="12" t="str">
        <f>IF(Prüfungsliste!$F6&lt;&gt;"",VLOOKUP(Prüfungsliste!$F6,nstGrad,IF(A6,3,2),FALSE),"")</f>
        <v/>
      </c>
      <c r="C6" t="b">
        <f>IF(Prüfungsliste!G6&lt;&gt;"",OR(VLOOKUP(Prüfungsliste!G6,nst,3,FALSE)="",VLOOKUP(Prüfungsliste!G6,nst,3,FALSE)&gt;=DATE(YEAR(Prüfungsliste!D6),MONTH(Prüfungsliste!D6),DAY(Prüfungsliste!D6)-C$2)),TRUE)</f>
        <v>1</v>
      </c>
      <c r="D6" t="str">
        <f t="shared" si="0"/>
        <v/>
      </c>
      <c r="E6" t="b">
        <f>IF(Prüfungsliste!G6&lt;&gt;"",OR(VLOOKUP(Prüfungsliste!G6,nst,5,FALSE)="",VLOOKUP(Prüfungsliste!G6,nst,5,FALSE)&gt;=DATE(YEAR(Prüfungsliste!E6),MONTH(Prüfungsliste!E6),DAY(Prüfungsliste!E6)-D6)),TRUE)</f>
        <v>1</v>
      </c>
      <c r="F6" t="str">
        <f>IF(Prüfungsliste!G6&lt;&gt;"",
 IF(Prüfungsliste!AB6=2,
  VLOOKUP(Prüfungsliste!G6,nst,28,FALSE)*2,
  VLOOKUP(Prüfungsliste!G6,nst,28,FALSE)),
 "")</f>
        <v/>
      </c>
      <c r="G6" t="b">
        <f>IF(Prüfungsliste!G6&lt;&gt;"",OR(VLOOKUP(Prüfungsliste!$G6,nst,26,FALSE)=COUNT(Prüfungsliste!H6:'Prüfungsliste'!W6),ZE!M6),FALSE)</f>
        <v>0</v>
      </c>
      <c r="H6" t="b">
        <f>IF(Prüfungsliste!G6&lt;&gt;"",AND(G6,IF(Prüfungsliste!AB6=1,TRUE,IF(Prüfungsliste!AB6=2,Prüfungsliste!AE6&gt;0,IF(Prüfungsliste!AB6=3,AND(Prüfungsliste!AF6&lt;&gt;"",Prüfungsliste!AG6&lt;&gt;""),FALSE)))),FALSE)</f>
        <v>0</v>
      </c>
      <c r="I6" t="b">
        <f>IF(Prüfungsliste!AB6=2,
 TRUE,
 AND(NOT(M6),
  Prüfungsliste!AD6&gt;=F6))</f>
        <v>1</v>
      </c>
      <c r="J6" t="b">
        <f>IF(Prüfungsliste!AB6=1,
 I6,
 IF(Prüfungsliste!AB6=2,
  Prüfungsliste!AE6+Prüfungsliste!AD6&gt;=F6,
  IF(Prüfungsliste!AB6=3,
   IF(I6,1,0)+IF(Prüfungsliste!AF6="B",1,0)+IF(Prüfungsliste!AG6="B",1,0)&gt;=2,
   FALSE)))</f>
        <v>0</v>
      </c>
      <c r="K6" t="b">
        <f>IF(OR(Prüfungsliste!AB6=1,Prüfungsliste!AB6=3),COUNTIF(Prüfungsliste!H6:W6,1)&gt;=1,FALSE)</f>
        <v>0</v>
      </c>
      <c r="L6" t="b">
        <f>IF(AND(Prüfungsliste!G6="5. Dan",Prüfungsliste!T6&lt;&gt;""),OR(AND(Prüfungsliste!T6&lt;=2,OR(Prüfungsliste!AF6="NB",Prüfungsliste!AG6="NB")),AND(Prüfungsliste!AF6="NB",Prüfungsliste!AG6="NB")),FALSE)</f>
        <v>0</v>
      </c>
      <c r="M6" t="b">
        <f>OR(ZE!K6,ZE!L6)</f>
        <v>0</v>
      </c>
      <c r="N6" t="str">
        <f>IF(Prüfungsliste!D6&lt;&gt;"",YEARFRAC(PTag,Prüfungsliste!D6),"")</f>
        <v/>
      </c>
      <c r="O6" t="str">
        <f t="shared" si="1"/>
        <v/>
      </c>
      <c r="P6" t="str">
        <f>Prüfungsliste!G6&amp;O6&amp;Prüfungsliste!AI6</f>
        <v/>
      </c>
      <c r="Q6" t="str">
        <f>IF(Prüfungsliste!G6&lt;&gt;"",VLOOKUP(Prüfungsliste!G6,nst,34,FALSE),"")</f>
        <v/>
      </c>
      <c r="Y6" t="str">
        <f>IF(Prüfungsliste!B6&lt;&gt;"",TRIM(IF(FIND(",",Prüfungsliste!B6&amp;",",1)&lt;LEN(Prüfungsliste!B6)+1,RIGHT(Prüfungsliste!B6,LEN(Prüfungsliste!B6)-FIND(",",Prüfungsliste!B6,1))&amp;" "&amp;LEFT(Prüfungsliste!B6,FIND(",",Prüfungsliste!B6,1)-1),Prüfungsliste!B6)),"")</f>
        <v/>
      </c>
      <c r="Z6" t="b">
        <f>OR(Prüfungsliste!AI6="B",Prüfungsliste!AI6="")</f>
        <v>1</v>
      </c>
    </row>
    <row r="7" spans="1:26" x14ac:dyDescent="0.2">
      <c r="A7" s="11" t="b">
        <f ca="1">AND(Prüfungsliste!D7&lt;&gt;"",Prüfungsliste!D7&gt;Kinderprüfungsgrenze)</f>
        <v>0</v>
      </c>
      <c r="B7" s="12" t="str">
        <f>IF(Prüfungsliste!$F7&lt;&gt;"",VLOOKUP(Prüfungsliste!$F7,nstGrad,IF(A7,3,2),FALSE),"")</f>
        <v/>
      </c>
      <c r="C7" t="b">
        <f>IF(Prüfungsliste!G7&lt;&gt;"",OR(VLOOKUP(Prüfungsliste!G7,nst,3,FALSE)="",VLOOKUP(Prüfungsliste!G7,nst,3,FALSE)&gt;=DATE(YEAR(Prüfungsliste!D7),MONTH(Prüfungsliste!D7),DAY(Prüfungsliste!D7)-C$2)),TRUE)</f>
        <v>1</v>
      </c>
      <c r="D7" t="str">
        <f t="shared" si="0"/>
        <v/>
      </c>
      <c r="E7" t="b">
        <f>IF(Prüfungsliste!G7&lt;&gt;"",OR(VLOOKUP(Prüfungsliste!G7,nst,5,FALSE)="",VLOOKUP(Prüfungsliste!G7,nst,5,FALSE)&gt;=DATE(YEAR(Prüfungsliste!E7),MONTH(Prüfungsliste!E7),DAY(Prüfungsliste!E7)-D7)),TRUE)</f>
        <v>1</v>
      </c>
      <c r="F7" t="str">
        <f>IF(Prüfungsliste!G7&lt;&gt;"",
 IF(Prüfungsliste!AB7=2,
  VLOOKUP(Prüfungsliste!G7,nst,28,FALSE)*2,
  VLOOKUP(Prüfungsliste!G7,nst,28,FALSE)),
 "")</f>
        <v/>
      </c>
      <c r="G7" t="b">
        <f>IF(Prüfungsliste!G7&lt;&gt;"",OR(VLOOKUP(Prüfungsliste!$G7,nst,26,FALSE)=COUNT(Prüfungsliste!H7:'Prüfungsliste'!W7),ZE!M7),FALSE)</f>
        <v>0</v>
      </c>
      <c r="H7" t="b">
        <f>IF(Prüfungsliste!G7&lt;&gt;"",AND(G7,IF(Prüfungsliste!AB7=1,TRUE,IF(Prüfungsliste!AB7=2,Prüfungsliste!AE7&gt;0,IF(Prüfungsliste!AB7=3,AND(Prüfungsliste!AF7&lt;&gt;"",Prüfungsliste!AG7&lt;&gt;""),FALSE)))),FALSE)</f>
        <v>0</v>
      </c>
      <c r="I7" t="b">
        <f>IF(Prüfungsliste!AB7=2,
 TRUE,
 AND(NOT(M7),
  Prüfungsliste!AD7&gt;=F7))</f>
        <v>1</v>
      </c>
      <c r="J7" t="b">
        <f>IF(Prüfungsliste!AB7=1,
 I7,
 IF(Prüfungsliste!AB7=2,
  Prüfungsliste!AE7+Prüfungsliste!AD7&gt;=F7,
  IF(Prüfungsliste!AB7=3,
   IF(I7,1,0)+IF(Prüfungsliste!AF7="B",1,0)+IF(Prüfungsliste!AG7="B",1,0)&gt;=2,
   FALSE)))</f>
        <v>0</v>
      </c>
      <c r="K7" t="b">
        <f>IF(OR(Prüfungsliste!AB7=1,Prüfungsliste!AB7=3),COUNTIF(Prüfungsliste!H7:W7,1)&gt;=1,FALSE)</f>
        <v>0</v>
      </c>
      <c r="L7" t="b">
        <f>IF(AND(Prüfungsliste!G7="5. Dan",Prüfungsliste!T7&lt;&gt;""),OR(AND(Prüfungsliste!T7&lt;=2,OR(Prüfungsliste!AF7="NB",Prüfungsliste!AG7="NB")),AND(Prüfungsliste!AF7="NB",Prüfungsliste!AG7="NB")),FALSE)</f>
        <v>0</v>
      </c>
      <c r="M7" t="b">
        <f>OR(ZE!K7,ZE!L7)</f>
        <v>0</v>
      </c>
      <c r="N7" t="str">
        <f>IF(Prüfungsliste!D7&lt;&gt;"",YEARFRAC(PTag,Prüfungsliste!D7),"")</f>
        <v/>
      </c>
      <c r="O7" t="str">
        <f t="shared" si="1"/>
        <v/>
      </c>
      <c r="P7" t="str">
        <f>Prüfungsliste!G7&amp;O7&amp;Prüfungsliste!AI7</f>
        <v/>
      </c>
      <c r="Q7" t="str">
        <f>IF(Prüfungsliste!G7&lt;&gt;"",VLOOKUP(Prüfungsliste!G7,nst,34,FALSE),"")</f>
        <v/>
      </c>
      <c r="Y7" t="str">
        <f>IF(Prüfungsliste!B7&lt;&gt;"",TRIM(IF(FIND(",",Prüfungsliste!B7&amp;",",1)&lt;LEN(Prüfungsliste!B7)+1,RIGHT(Prüfungsliste!B7,LEN(Prüfungsliste!B7)-FIND(",",Prüfungsliste!B7,1))&amp;" "&amp;LEFT(Prüfungsliste!B7,FIND(",",Prüfungsliste!B7,1)-1),Prüfungsliste!B7)),"")</f>
        <v/>
      </c>
      <c r="Z7" t="b">
        <f>OR(Prüfungsliste!AI7="B",Prüfungsliste!AI7="")</f>
        <v>1</v>
      </c>
    </row>
    <row r="8" spans="1:26" x14ac:dyDescent="0.2">
      <c r="A8" s="11" t="b">
        <f ca="1">AND(Prüfungsliste!D8&lt;&gt;"",Prüfungsliste!D8&gt;Kinderprüfungsgrenze)</f>
        <v>0</v>
      </c>
      <c r="B8" s="12" t="str">
        <f>IF(Prüfungsliste!$F8&lt;&gt;"",VLOOKUP(Prüfungsliste!$F8,nstGrad,IF(A8,3,2),FALSE),"")</f>
        <v/>
      </c>
      <c r="C8" t="b">
        <f>IF(Prüfungsliste!G8&lt;&gt;"",OR(VLOOKUP(Prüfungsliste!G8,nst,3,FALSE)="",VLOOKUP(Prüfungsliste!G8,nst,3,FALSE)&gt;=DATE(YEAR(Prüfungsliste!D8),MONTH(Prüfungsliste!D8),DAY(Prüfungsliste!D8)-C$2)),TRUE)</f>
        <v>1</v>
      </c>
      <c r="D8" t="str">
        <f t="shared" si="0"/>
        <v/>
      </c>
      <c r="E8" t="b">
        <f>IF(Prüfungsliste!G8&lt;&gt;"",OR(VLOOKUP(Prüfungsliste!G8,nst,5,FALSE)="",VLOOKUP(Prüfungsliste!G8,nst,5,FALSE)&gt;=DATE(YEAR(Prüfungsliste!E8),MONTH(Prüfungsliste!E8),DAY(Prüfungsliste!E8)-D8)),TRUE)</f>
        <v>1</v>
      </c>
      <c r="F8" t="str">
        <f>IF(Prüfungsliste!G8&lt;&gt;"",
 IF(Prüfungsliste!AB8=2,
  VLOOKUP(Prüfungsliste!G8,nst,28,FALSE)*2,
  VLOOKUP(Prüfungsliste!G8,nst,28,FALSE)),
 "")</f>
        <v/>
      </c>
      <c r="G8" t="b">
        <f>IF(Prüfungsliste!G8&lt;&gt;"",OR(VLOOKUP(Prüfungsliste!$G8,nst,26,FALSE)=COUNT(Prüfungsliste!H8:'Prüfungsliste'!W8),ZE!M8),FALSE)</f>
        <v>0</v>
      </c>
      <c r="H8" t="b">
        <f>IF(Prüfungsliste!G8&lt;&gt;"",AND(G8,IF(Prüfungsliste!AB8=1,TRUE,IF(Prüfungsliste!AB8=2,Prüfungsliste!AE8&gt;0,IF(Prüfungsliste!AB8=3,AND(Prüfungsliste!AF8&lt;&gt;"",Prüfungsliste!AG8&lt;&gt;""),FALSE)))),FALSE)</f>
        <v>0</v>
      </c>
      <c r="I8" t="b">
        <f>IF(Prüfungsliste!AB8=2,
 TRUE,
 AND(NOT(M8),
  Prüfungsliste!AD8&gt;=F8))</f>
        <v>1</v>
      </c>
      <c r="J8" t="b">
        <f>IF(Prüfungsliste!AB8=1,
 I8,
 IF(Prüfungsliste!AB8=2,
  Prüfungsliste!AE8+Prüfungsliste!AD8&gt;=F8,
  IF(Prüfungsliste!AB8=3,
   IF(I8,1,0)+IF(Prüfungsliste!AF8="B",1,0)+IF(Prüfungsliste!AG8="B",1,0)&gt;=2,
   FALSE)))</f>
        <v>0</v>
      </c>
      <c r="K8" t="b">
        <f>IF(OR(Prüfungsliste!AB8=1,Prüfungsliste!AB8=3),COUNTIF(Prüfungsliste!H8:W8,1)&gt;=1,FALSE)</f>
        <v>0</v>
      </c>
      <c r="L8" t="b">
        <f>IF(AND(Prüfungsliste!G8="5. Dan",Prüfungsliste!T8&lt;&gt;""),OR(AND(Prüfungsliste!T8&lt;=2,OR(Prüfungsliste!AF8="NB",Prüfungsliste!AG8="NB")),AND(Prüfungsliste!AF8="NB",Prüfungsliste!AG8="NB")),FALSE)</f>
        <v>0</v>
      </c>
      <c r="M8" t="b">
        <f>OR(ZE!K8,ZE!L8)</f>
        <v>0</v>
      </c>
      <c r="N8" t="str">
        <f>IF(Prüfungsliste!D8&lt;&gt;"",YEARFRAC(PTag,Prüfungsliste!D8),"")</f>
        <v/>
      </c>
      <c r="O8" t="str">
        <f t="shared" si="1"/>
        <v/>
      </c>
      <c r="P8" t="str">
        <f>Prüfungsliste!G8&amp;O8&amp;Prüfungsliste!AI8</f>
        <v/>
      </c>
      <c r="Q8" t="str">
        <f>IF(Prüfungsliste!G8&lt;&gt;"",VLOOKUP(Prüfungsliste!G8,nst,34,FALSE),"")</f>
        <v/>
      </c>
      <c r="Y8" t="str">
        <f>IF(Prüfungsliste!B8&lt;&gt;"",TRIM(IF(FIND(",",Prüfungsliste!B8&amp;",",1)&lt;LEN(Prüfungsliste!B8)+1,RIGHT(Prüfungsliste!B8,LEN(Prüfungsliste!B8)-FIND(",",Prüfungsliste!B8,1))&amp;" "&amp;LEFT(Prüfungsliste!B8,FIND(",",Prüfungsliste!B8,1)-1),Prüfungsliste!B8)),"")</f>
        <v/>
      </c>
      <c r="Z8" t="b">
        <f>OR(Prüfungsliste!AI8="B",Prüfungsliste!AI8="")</f>
        <v>1</v>
      </c>
    </row>
    <row r="9" spans="1:26" x14ac:dyDescent="0.2">
      <c r="A9" s="11" t="b">
        <f ca="1">AND(Prüfungsliste!D9&lt;&gt;"",Prüfungsliste!D9&gt;Kinderprüfungsgrenze)</f>
        <v>0</v>
      </c>
      <c r="B9" s="12" t="str">
        <f>IF(Prüfungsliste!$F9&lt;&gt;"",VLOOKUP(Prüfungsliste!$F9,nstGrad,IF(A9,3,2),FALSE),"")</f>
        <v/>
      </c>
      <c r="C9" t="b">
        <f>IF(Prüfungsliste!G9&lt;&gt;"",OR(VLOOKUP(Prüfungsliste!G9,nst,3,FALSE)="",VLOOKUP(Prüfungsliste!G9,nst,3,FALSE)&gt;=DATE(YEAR(Prüfungsliste!D9),MONTH(Prüfungsliste!D9),DAY(Prüfungsliste!D9)-C$2)),TRUE)</f>
        <v>1</v>
      </c>
      <c r="D9" t="str">
        <f t="shared" si="0"/>
        <v/>
      </c>
      <c r="E9" t="b">
        <f>IF(Prüfungsliste!G9&lt;&gt;"",OR(VLOOKUP(Prüfungsliste!G9,nst,5,FALSE)="",VLOOKUP(Prüfungsliste!G9,nst,5,FALSE)&gt;=DATE(YEAR(Prüfungsliste!E9),MONTH(Prüfungsliste!E9),DAY(Prüfungsliste!E9)-D9)),TRUE)</f>
        <v>1</v>
      </c>
      <c r="F9" t="str">
        <f>IF(Prüfungsliste!G9&lt;&gt;"",
 IF(Prüfungsliste!AB9=2,
  VLOOKUP(Prüfungsliste!G9,nst,28,FALSE)*2,
  VLOOKUP(Prüfungsliste!G9,nst,28,FALSE)),
 "")</f>
        <v/>
      </c>
      <c r="G9" t="b">
        <f>IF(Prüfungsliste!G9&lt;&gt;"",OR(VLOOKUP(Prüfungsliste!$G9,nst,26,FALSE)=COUNT(Prüfungsliste!H9:'Prüfungsliste'!W9),ZE!M9),FALSE)</f>
        <v>0</v>
      </c>
      <c r="H9" t="b">
        <f>IF(Prüfungsliste!G9&lt;&gt;"",AND(G9,IF(Prüfungsliste!AB9=1,TRUE,IF(Prüfungsliste!AB9=2,Prüfungsliste!AE9&gt;0,IF(Prüfungsliste!AB9=3,AND(Prüfungsliste!AF9&lt;&gt;"",Prüfungsliste!AG9&lt;&gt;""),FALSE)))),FALSE)</f>
        <v>0</v>
      </c>
      <c r="I9" t="b">
        <f>IF(Prüfungsliste!AB9=2,
 TRUE,
 AND(NOT(M9),
  Prüfungsliste!AD9&gt;=F9))</f>
        <v>1</v>
      </c>
      <c r="J9" t="b">
        <f>IF(Prüfungsliste!AB9=1,
 I9,
 IF(Prüfungsliste!AB9=2,
  Prüfungsliste!AE9+Prüfungsliste!AD9&gt;=F9,
  IF(Prüfungsliste!AB9=3,
   IF(I9,1,0)+IF(Prüfungsliste!AF9="B",1,0)+IF(Prüfungsliste!AG9="B",1,0)&gt;=2,
   FALSE)))</f>
        <v>0</v>
      </c>
      <c r="K9" t="b">
        <f>IF(OR(Prüfungsliste!AB9=1,Prüfungsliste!AB9=3),COUNTIF(Prüfungsliste!H9:W9,1)&gt;=1,FALSE)</f>
        <v>0</v>
      </c>
      <c r="L9" t="b">
        <f>IF(AND(Prüfungsliste!G9="5. Dan",Prüfungsliste!T9&lt;&gt;""),OR(AND(Prüfungsliste!T9&lt;=2,OR(Prüfungsliste!AF9="NB",Prüfungsliste!AG9="NB")),AND(Prüfungsliste!AF9="NB",Prüfungsliste!AG9="NB")),FALSE)</f>
        <v>0</v>
      </c>
      <c r="M9" t="b">
        <f>OR(ZE!K9,ZE!L9)</f>
        <v>0</v>
      </c>
      <c r="N9" t="str">
        <f>IF(Prüfungsliste!D9&lt;&gt;"",YEARFRAC(PTag,Prüfungsliste!D9),"")</f>
        <v/>
      </c>
      <c r="O9" t="str">
        <f t="shared" si="1"/>
        <v/>
      </c>
      <c r="P9" t="str">
        <f>Prüfungsliste!G9&amp;O9&amp;Prüfungsliste!AI9</f>
        <v/>
      </c>
      <c r="Q9" t="str">
        <f>IF(Prüfungsliste!G9&lt;&gt;"",VLOOKUP(Prüfungsliste!G9,nst,34,FALSE),"")</f>
        <v/>
      </c>
      <c r="Y9" t="str">
        <f>IF(Prüfungsliste!B9&lt;&gt;"",TRIM(IF(FIND(",",Prüfungsliste!B9&amp;",",1)&lt;LEN(Prüfungsliste!B9)+1,RIGHT(Prüfungsliste!B9,LEN(Prüfungsliste!B9)-FIND(",",Prüfungsliste!B9,1))&amp;" "&amp;LEFT(Prüfungsliste!B9,FIND(",",Prüfungsliste!B9,1)-1),Prüfungsliste!B9)),"")</f>
        <v/>
      </c>
      <c r="Z9" t="b">
        <f>OR(Prüfungsliste!AI9="B",Prüfungsliste!AI9="")</f>
        <v>1</v>
      </c>
    </row>
    <row r="10" spans="1:26" x14ac:dyDescent="0.2">
      <c r="A10" s="11" t="b">
        <f ca="1">AND(Prüfungsliste!D10&lt;&gt;"",Prüfungsliste!D10&gt;Kinderprüfungsgrenze)</f>
        <v>0</v>
      </c>
      <c r="B10" s="12" t="str">
        <f>IF(Prüfungsliste!$F10&lt;&gt;"",VLOOKUP(Prüfungsliste!$F10,nstGrad,IF(A10,3,2),FALSE),"")</f>
        <v/>
      </c>
      <c r="C10" t="b">
        <f>IF(Prüfungsliste!G10&lt;&gt;"",OR(VLOOKUP(Prüfungsliste!G10,nst,3,FALSE)="",VLOOKUP(Prüfungsliste!G10,nst,3,FALSE)&gt;=DATE(YEAR(Prüfungsliste!D10),MONTH(Prüfungsliste!D10),DAY(Prüfungsliste!D10)-C$2)),TRUE)</f>
        <v>1</v>
      </c>
      <c r="D10" t="str">
        <f t="shared" si="0"/>
        <v/>
      </c>
      <c r="E10" t="b">
        <f>IF(Prüfungsliste!G10&lt;&gt;"",OR(VLOOKUP(Prüfungsliste!G10,nst,5,FALSE)="",VLOOKUP(Prüfungsliste!G10,nst,5,FALSE)&gt;=DATE(YEAR(Prüfungsliste!E10),MONTH(Prüfungsliste!E10),DAY(Prüfungsliste!E10)-D10)),TRUE)</f>
        <v>1</v>
      </c>
      <c r="F10" t="str">
        <f>IF(Prüfungsliste!G10&lt;&gt;"",
 IF(Prüfungsliste!AB10=2,
  VLOOKUP(Prüfungsliste!G10,nst,28,FALSE)*2,
  VLOOKUP(Prüfungsliste!G10,nst,28,FALSE)),
 "")</f>
        <v/>
      </c>
      <c r="G10" t="b">
        <f>IF(Prüfungsliste!G10&lt;&gt;"",OR(VLOOKUP(Prüfungsliste!$G10,nst,26,FALSE)=COUNT(Prüfungsliste!H10:'Prüfungsliste'!W10),ZE!M10),FALSE)</f>
        <v>0</v>
      </c>
      <c r="H10" t="b">
        <f>IF(Prüfungsliste!G10&lt;&gt;"",AND(G10,IF(Prüfungsliste!AB10=1,TRUE,IF(Prüfungsliste!AB10=2,Prüfungsliste!AE10&gt;0,IF(Prüfungsliste!AB10=3,AND(Prüfungsliste!AF10&lt;&gt;"",Prüfungsliste!AG10&lt;&gt;""),FALSE)))),FALSE)</f>
        <v>0</v>
      </c>
      <c r="I10" t="b">
        <f>IF(Prüfungsliste!AB10=2,
 TRUE,
 AND(NOT(M10),
  Prüfungsliste!AD10&gt;=F10))</f>
        <v>1</v>
      </c>
      <c r="J10" t="b">
        <f>IF(Prüfungsliste!AB10=1,
 I10,
 IF(Prüfungsliste!AB10=2,
  Prüfungsliste!AE10+Prüfungsliste!AD10&gt;=F10,
  IF(Prüfungsliste!AB10=3,
   IF(I10,1,0)+IF(Prüfungsliste!AF10="B",1,0)+IF(Prüfungsliste!AG10="B",1,0)&gt;=2,
   FALSE)))</f>
        <v>0</v>
      </c>
      <c r="K10" t="b">
        <f>IF(OR(Prüfungsliste!AB10=1,Prüfungsliste!AB10=3),COUNTIF(Prüfungsliste!H10:W10,1)&gt;=1,FALSE)</f>
        <v>0</v>
      </c>
      <c r="L10" t="b">
        <f>IF(AND(Prüfungsliste!G10="5. Dan",Prüfungsliste!T10&lt;&gt;""),OR(AND(Prüfungsliste!T10&lt;=2,OR(Prüfungsliste!AF10="NB",Prüfungsliste!AG10="NB")),AND(Prüfungsliste!AF10="NB",Prüfungsliste!AG10="NB")),FALSE)</f>
        <v>0</v>
      </c>
      <c r="M10" t="b">
        <f>OR(ZE!K10,ZE!L10)</f>
        <v>0</v>
      </c>
      <c r="N10" t="str">
        <f>IF(Prüfungsliste!D10&lt;&gt;"",YEARFRAC(PTag,Prüfungsliste!D10),"")</f>
        <v/>
      </c>
      <c r="O10" t="str">
        <f t="shared" si="1"/>
        <v/>
      </c>
      <c r="P10" t="str">
        <f>Prüfungsliste!G10&amp;O10&amp;Prüfungsliste!AI10</f>
        <v/>
      </c>
      <c r="Q10" t="str">
        <f>IF(Prüfungsliste!G10&lt;&gt;"",VLOOKUP(Prüfungsliste!G10,nst,34,FALSE),"")</f>
        <v/>
      </c>
      <c r="Y10" t="str">
        <f>IF(Prüfungsliste!B10&lt;&gt;"",TRIM(IF(FIND(",",Prüfungsliste!B10&amp;",",1)&lt;LEN(Prüfungsliste!B10)+1,RIGHT(Prüfungsliste!B10,LEN(Prüfungsliste!B10)-FIND(",",Prüfungsliste!B10,1))&amp;" "&amp;LEFT(Prüfungsliste!B10,FIND(",",Prüfungsliste!B10,1)-1),Prüfungsliste!B10)),"")</f>
        <v/>
      </c>
      <c r="Z10" t="b">
        <f>OR(Prüfungsliste!AI10="B",Prüfungsliste!AI10="")</f>
        <v>1</v>
      </c>
    </row>
    <row r="11" spans="1:26" x14ac:dyDescent="0.2">
      <c r="A11" s="11" t="b">
        <f ca="1">AND(Prüfungsliste!D11&lt;&gt;"",Prüfungsliste!D11&gt;Kinderprüfungsgrenze)</f>
        <v>0</v>
      </c>
      <c r="B11" s="12" t="str">
        <f>IF(Prüfungsliste!$F11&lt;&gt;"",VLOOKUP(Prüfungsliste!$F11,nstGrad,IF(A11,3,2),FALSE),"")</f>
        <v/>
      </c>
      <c r="C11" t="b">
        <f>IF(Prüfungsliste!G11&lt;&gt;"",OR(VLOOKUP(Prüfungsliste!G11,nst,3,FALSE)="",VLOOKUP(Prüfungsliste!G11,nst,3,FALSE)&gt;=DATE(YEAR(Prüfungsliste!D11),MONTH(Prüfungsliste!D11),DAY(Prüfungsliste!D11)-C$2)),TRUE)</f>
        <v>1</v>
      </c>
      <c r="D11" t="str">
        <f t="shared" si="0"/>
        <v/>
      </c>
      <c r="E11" t="b">
        <f>IF(Prüfungsliste!G11&lt;&gt;"",OR(VLOOKUP(Prüfungsliste!G11,nst,5,FALSE)="",VLOOKUP(Prüfungsliste!G11,nst,5,FALSE)&gt;=DATE(YEAR(Prüfungsliste!E11),MONTH(Prüfungsliste!E11),DAY(Prüfungsliste!E11)-D11)),TRUE)</f>
        <v>1</v>
      </c>
      <c r="F11" t="str">
        <f>IF(Prüfungsliste!G11&lt;&gt;"",
 IF(Prüfungsliste!AB11=2,
  VLOOKUP(Prüfungsliste!G11,nst,28,FALSE)*2,
  VLOOKUP(Prüfungsliste!G11,nst,28,FALSE)),
 "")</f>
        <v/>
      </c>
      <c r="G11" t="b">
        <f>IF(Prüfungsliste!G11&lt;&gt;"",OR(VLOOKUP(Prüfungsliste!$G11,nst,26,FALSE)=COUNT(Prüfungsliste!H11:'Prüfungsliste'!W11),ZE!M11),FALSE)</f>
        <v>0</v>
      </c>
      <c r="H11" t="b">
        <f>IF(Prüfungsliste!G11&lt;&gt;"",AND(G11,IF(Prüfungsliste!AB11=1,TRUE,IF(Prüfungsliste!AB11=2,Prüfungsliste!AE11&gt;0,IF(Prüfungsliste!AB11=3,AND(Prüfungsliste!AF11&lt;&gt;"",Prüfungsliste!AG11&lt;&gt;""),FALSE)))),FALSE)</f>
        <v>0</v>
      </c>
      <c r="I11" t="b">
        <f>IF(Prüfungsliste!AB11=2,
 TRUE,
 AND(NOT(M11),
  Prüfungsliste!AD11&gt;=F11))</f>
        <v>1</v>
      </c>
      <c r="J11" t="b">
        <f>IF(Prüfungsliste!AB11=1,
 I11,
 IF(Prüfungsliste!AB11=2,
  Prüfungsliste!AE11+Prüfungsliste!AD11&gt;=F11,
  IF(Prüfungsliste!AB11=3,
   IF(I11,1,0)+IF(Prüfungsliste!AF11="B",1,0)+IF(Prüfungsliste!AG11="B",1,0)&gt;=2,
   FALSE)))</f>
        <v>0</v>
      </c>
      <c r="K11" t="b">
        <f>IF(OR(Prüfungsliste!AB11=1,Prüfungsliste!AB11=3),COUNTIF(Prüfungsliste!H11:W11,1)&gt;=1,FALSE)</f>
        <v>0</v>
      </c>
      <c r="L11" t="b">
        <f>IF(AND(Prüfungsliste!G11="5. Dan",Prüfungsliste!T11&lt;&gt;""),OR(AND(Prüfungsliste!T11&lt;=2,OR(Prüfungsliste!AF11="NB",Prüfungsliste!AG11="NB")),AND(Prüfungsliste!AF11="NB",Prüfungsliste!AG11="NB")),FALSE)</f>
        <v>0</v>
      </c>
      <c r="M11" t="b">
        <f>OR(ZE!K11,ZE!L11)</f>
        <v>0</v>
      </c>
      <c r="N11" t="str">
        <f>IF(Prüfungsliste!D11&lt;&gt;"",YEARFRAC(PTag,Prüfungsliste!D11),"")</f>
        <v/>
      </c>
      <c r="O11" t="str">
        <f t="shared" si="1"/>
        <v/>
      </c>
      <c r="P11" t="str">
        <f>Prüfungsliste!G11&amp;O11&amp;Prüfungsliste!AI11</f>
        <v/>
      </c>
      <c r="Q11" t="str">
        <f>IF(Prüfungsliste!G11&lt;&gt;"",VLOOKUP(Prüfungsliste!G11,nst,34,FALSE),"")</f>
        <v/>
      </c>
      <c r="Y11" t="str">
        <f>IF(Prüfungsliste!B11&lt;&gt;"",TRIM(IF(FIND(",",Prüfungsliste!B11&amp;",",1)&lt;LEN(Prüfungsliste!B11)+1,RIGHT(Prüfungsliste!B11,LEN(Prüfungsliste!B11)-FIND(",",Prüfungsliste!B11,1))&amp;" "&amp;LEFT(Prüfungsliste!B11,FIND(",",Prüfungsliste!B11,1)-1),Prüfungsliste!B11)),"")</f>
        <v/>
      </c>
      <c r="Z11" t="b">
        <f>OR(Prüfungsliste!AI11="B",Prüfungsliste!AI11="")</f>
        <v>1</v>
      </c>
    </row>
    <row r="12" spans="1:26" x14ac:dyDescent="0.2">
      <c r="A12" s="11" t="b">
        <f ca="1">AND(Prüfungsliste!D12&lt;&gt;"",Prüfungsliste!D12&gt;Kinderprüfungsgrenze)</f>
        <v>0</v>
      </c>
      <c r="B12" s="12" t="str">
        <f>IF(Prüfungsliste!$F12&lt;&gt;"",VLOOKUP(Prüfungsliste!$F12,nstGrad,IF(A12,3,2),FALSE),"")</f>
        <v/>
      </c>
      <c r="C12" t="b">
        <f>IF(Prüfungsliste!G12&lt;&gt;"",OR(VLOOKUP(Prüfungsliste!G12,nst,3,FALSE)="",VLOOKUP(Prüfungsliste!G12,nst,3,FALSE)&gt;=DATE(YEAR(Prüfungsliste!D12),MONTH(Prüfungsliste!D12),DAY(Prüfungsliste!D12)-C$2)),TRUE)</f>
        <v>1</v>
      </c>
      <c r="D12" t="str">
        <f t="shared" si="0"/>
        <v/>
      </c>
      <c r="E12" t="b">
        <f>IF(Prüfungsliste!G12&lt;&gt;"",OR(VLOOKUP(Prüfungsliste!G12,nst,5,FALSE)="",VLOOKUP(Prüfungsliste!G12,nst,5,FALSE)&gt;=DATE(YEAR(Prüfungsliste!E12),MONTH(Prüfungsliste!E12),DAY(Prüfungsliste!E12)-D12)),TRUE)</f>
        <v>1</v>
      </c>
      <c r="F12" t="str">
        <f>IF(Prüfungsliste!G12&lt;&gt;"",
 IF(Prüfungsliste!AB12=2,
  VLOOKUP(Prüfungsliste!G12,nst,28,FALSE)*2,
  VLOOKUP(Prüfungsliste!G12,nst,28,FALSE)),
 "")</f>
        <v/>
      </c>
      <c r="G12" t="b">
        <f>IF(Prüfungsliste!G12&lt;&gt;"",OR(VLOOKUP(Prüfungsliste!$G12,nst,26,FALSE)=COUNT(Prüfungsliste!H12:'Prüfungsliste'!W12),ZE!M12),FALSE)</f>
        <v>0</v>
      </c>
      <c r="H12" t="b">
        <f>IF(Prüfungsliste!G12&lt;&gt;"",AND(G12,IF(Prüfungsliste!AB12=1,TRUE,IF(Prüfungsliste!AB12=2,Prüfungsliste!AE12&gt;0,IF(Prüfungsliste!AB12=3,AND(Prüfungsliste!AF12&lt;&gt;"",Prüfungsliste!AG12&lt;&gt;""),FALSE)))),FALSE)</f>
        <v>0</v>
      </c>
      <c r="I12" t="b">
        <f>IF(Prüfungsliste!AB12=2,
 TRUE,
 AND(NOT(M12),
  Prüfungsliste!AD12&gt;=F12))</f>
        <v>1</v>
      </c>
      <c r="J12" t="b">
        <f>IF(Prüfungsliste!AB12=1,
 I12,
 IF(Prüfungsliste!AB12=2,
  Prüfungsliste!AE12+Prüfungsliste!AD12&gt;=F12,
  IF(Prüfungsliste!AB12=3,
   IF(I12,1,0)+IF(Prüfungsliste!AF12="B",1,0)+IF(Prüfungsliste!AG12="B",1,0)&gt;=2,
   FALSE)))</f>
        <v>0</v>
      </c>
      <c r="K12" t="b">
        <f>IF(OR(Prüfungsliste!AB12=1,Prüfungsliste!AB12=3),COUNTIF(Prüfungsliste!H12:W12,1)&gt;=1,FALSE)</f>
        <v>0</v>
      </c>
      <c r="L12" t="b">
        <f>IF(AND(Prüfungsliste!G12="5. Dan",Prüfungsliste!T12&lt;&gt;""),OR(AND(Prüfungsliste!T12&lt;=2,OR(Prüfungsliste!AF12="NB",Prüfungsliste!AG12="NB")),AND(Prüfungsliste!AF12="NB",Prüfungsliste!AG12="NB")),FALSE)</f>
        <v>0</v>
      </c>
      <c r="M12" t="b">
        <f>OR(ZE!K12,ZE!L12)</f>
        <v>0</v>
      </c>
      <c r="N12" t="str">
        <f>IF(Prüfungsliste!D12&lt;&gt;"",YEARFRAC(PTag,Prüfungsliste!D12),"")</f>
        <v/>
      </c>
      <c r="O12" t="str">
        <f t="shared" si="1"/>
        <v/>
      </c>
      <c r="P12" t="str">
        <f>Prüfungsliste!G12&amp;O12&amp;Prüfungsliste!AI12</f>
        <v/>
      </c>
      <c r="Q12" t="str">
        <f>IF(Prüfungsliste!G12&lt;&gt;"",VLOOKUP(Prüfungsliste!G12,nst,34,FALSE),"")</f>
        <v/>
      </c>
      <c r="Y12" t="str">
        <f>IF(Prüfungsliste!B12&lt;&gt;"",TRIM(IF(FIND(",",Prüfungsliste!B12&amp;",",1)&lt;LEN(Prüfungsliste!B12)+1,RIGHT(Prüfungsliste!B12,LEN(Prüfungsliste!B12)-FIND(",",Prüfungsliste!B12,1))&amp;" "&amp;LEFT(Prüfungsliste!B12,FIND(",",Prüfungsliste!B12,1)-1),Prüfungsliste!B12)),"")</f>
        <v/>
      </c>
      <c r="Z12" t="b">
        <f>OR(Prüfungsliste!AI12="B",Prüfungsliste!AI12="")</f>
        <v>1</v>
      </c>
    </row>
    <row r="13" spans="1:26" x14ac:dyDescent="0.2">
      <c r="A13" s="11" t="b">
        <f ca="1">AND(Prüfungsliste!D13&lt;&gt;"",Prüfungsliste!D13&gt;Kinderprüfungsgrenze)</f>
        <v>0</v>
      </c>
      <c r="B13" s="12" t="str">
        <f>IF(Prüfungsliste!$F13&lt;&gt;"",VLOOKUP(Prüfungsliste!$F13,nstGrad,IF(A13,3,2),FALSE),"")</f>
        <v/>
      </c>
      <c r="C13" t="b">
        <f>IF(Prüfungsliste!G13&lt;&gt;"",OR(VLOOKUP(Prüfungsliste!G13,nst,3,FALSE)="",VLOOKUP(Prüfungsliste!G13,nst,3,FALSE)&gt;=DATE(YEAR(Prüfungsliste!D13),MONTH(Prüfungsliste!D13),DAY(Prüfungsliste!D13)-C$2)),TRUE)</f>
        <v>1</v>
      </c>
      <c r="D13" t="str">
        <f t="shared" si="0"/>
        <v/>
      </c>
      <c r="E13" t="b">
        <f>IF(Prüfungsliste!G13&lt;&gt;"",OR(VLOOKUP(Prüfungsliste!G13,nst,5,FALSE)="",VLOOKUP(Prüfungsliste!G13,nst,5,FALSE)&gt;=DATE(YEAR(Prüfungsliste!E13),MONTH(Prüfungsliste!E13),DAY(Prüfungsliste!E13)-D13)),TRUE)</f>
        <v>1</v>
      </c>
      <c r="F13" t="str">
        <f>IF(Prüfungsliste!G13&lt;&gt;"",
 IF(Prüfungsliste!AB13=2,
  VLOOKUP(Prüfungsliste!G13,nst,28,FALSE)*2,
  VLOOKUP(Prüfungsliste!G13,nst,28,FALSE)),
 "")</f>
        <v/>
      </c>
      <c r="G13" t="b">
        <f>IF(Prüfungsliste!G13&lt;&gt;"",OR(VLOOKUP(Prüfungsliste!$G13,nst,26,FALSE)=COUNT(Prüfungsliste!H13:'Prüfungsliste'!W13),ZE!M13),FALSE)</f>
        <v>0</v>
      </c>
      <c r="H13" t="b">
        <f>IF(Prüfungsliste!G13&lt;&gt;"",AND(G13,IF(Prüfungsliste!AB13=1,TRUE,IF(Prüfungsliste!AB13=2,Prüfungsliste!AE13&gt;0,IF(Prüfungsliste!AB13=3,AND(Prüfungsliste!AF13&lt;&gt;"",Prüfungsliste!AG13&lt;&gt;""),FALSE)))),FALSE)</f>
        <v>0</v>
      </c>
      <c r="I13" t="b">
        <f>IF(Prüfungsliste!AB13=2,
 TRUE,
 AND(NOT(M13),
  Prüfungsliste!AD13&gt;=F13))</f>
        <v>1</v>
      </c>
      <c r="J13" t="b">
        <f>IF(Prüfungsliste!AB13=1,
 I13,
 IF(Prüfungsliste!AB13=2,
  Prüfungsliste!AE13+Prüfungsliste!AD13&gt;=F13,
  IF(Prüfungsliste!AB13=3,
   IF(I13,1,0)+IF(Prüfungsliste!AF13="B",1,0)+IF(Prüfungsliste!AG13="B",1,0)&gt;=2,
   FALSE)))</f>
        <v>0</v>
      </c>
      <c r="K13" t="b">
        <f>IF(OR(Prüfungsliste!AB13=1,Prüfungsliste!AB13=3),COUNTIF(Prüfungsliste!H13:W13,1)&gt;=1,FALSE)</f>
        <v>0</v>
      </c>
      <c r="L13" t="b">
        <f>IF(AND(Prüfungsliste!G13="5. Dan",Prüfungsliste!T13&lt;&gt;""),OR(AND(Prüfungsliste!T13&lt;=2,OR(Prüfungsliste!AF13="NB",Prüfungsliste!AG13="NB")),AND(Prüfungsliste!AF13="NB",Prüfungsliste!AG13="NB")),FALSE)</f>
        <v>0</v>
      </c>
      <c r="M13" t="b">
        <f>OR(ZE!K13,ZE!L13)</f>
        <v>0</v>
      </c>
      <c r="N13" t="str">
        <f>IF(Prüfungsliste!D13&lt;&gt;"",YEARFRAC(PTag,Prüfungsliste!D13),"")</f>
        <v/>
      </c>
      <c r="O13" t="str">
        <f t="shared" si="1"/>
        <v/>
      </c>
      <c r="P13" t="str">
        <f>Prüfungsliste!G13&amp;O13&amp;Prüfungsliste!AI13</f>
        <v/>
      </c>
      <c r="Q13" t="str">
        <f>IF(Prüfungsliste!G13&lt;&gt;"",VLOOKUP(Prüfungsliste!G13,nst,34,FALSE),"")</f>
        <v/>
      </c>
      <c r="Y13" t="str">
        <f>IF(Prüfungsliste!B13&lt;&gt;"",TRIM(IF(FIND(",",Prüfungsliste!B13&amp;",",1)&lt;LEN(Prüfungsliste!B13)+1,RIGHT(Prüfungsliste!B13,LEN(Prüfungsliste!B13)-FIND(",",Prüfungsliste!B13,1))&amp;" "&amp;LEFT(Prüfungsliste!B13,FIND(",",Prüfungsliste!B13,1)-1),Prüfungsliste!B13)),"")</f>
        <v/>
      </c>
      <c r="Z13" t="b">
        <f>OR(Prüfungsliste!AI13="B",Prüfungsliste!AI13="")</f>
        <v>1</v>
      </c>
    </row>
    <row r="14" spans="1:26" x14ac:dyDescent="0.2">
      <c r="A14" s="11" t="b">
        <f ca="1">AND(Prüfungsliste!D14&lt;&gt;"",Prüfungsliste!D14&gt;Kinderprüfungsgrenze)</f>
        <v>0</v>
      </c>
      <c r="B14" s="12" t="str">
        <f>IF(Prüfungsliste!$F14&lt;&gt;"",VLOOKUP(Prüfungsliste!$F14,nstGrad,IF(A14,3,2),FALSE),"")</f>
        <v/>
      </c>
      <c r="C14" t="b">
        <f>IF(Prüfungsliste!G14&lt;&gt;"",OR(VLOOKUP(Prüfungsliste!G14,nst,3,FALSE)="",VLOOKUP(Prüfungsliste!G14,nst,3,FALSE)&gt;=DATE(YEAR(Prüfungsliste!D14),MONTH(Prüfungsliste!D14),DAY(Prüfungsliste!D14)-C$2)),TRUE)</f>
        <v>1</v>
      </c>
      <c r="D14" t="str">
        <f t="shared" si="0"/>
        <v/>
      </c>
      <c r="E14" t="b">
        <f>IF(Prüfungsliste!G14&lt;&gt;"",OR(VLOOKUP(Prüfungsliste!G14,nst,5,FALSE)="",VLOOKUP(Prüfungsliste!G14,nst,5,FALSE)&gt;=DATE(YEAR(Prüfungsliste!E14),MONTH(Prüfungsliste!E14),DAY(Prüfungsliste!E14)-D14)),TRUE)</f>
        <v>1</v>
      </c>
      <c r="F14" t="str">
        <f>IF(Prüfungsliste!G14&lt;&gt;"",
 IF(Prüfungsliste!AB14=2,
  VLOOKUP(Prüfungsliste!G14,nst,28,FALSE)*2,
  VLOOKUP(Prüfungsliste!G14,nst,28,FALSE)),
 "")</f>
        <v/>
      </c>
      <c r="G14" t="b">
        <f>IF(Prüfungsliste!G14&lt;&gt;"",OR(VLOOKUP(Prüfungsliste!$G14,nst,26,FALSE)=COUNT(Prüfungsliste!H14:'Prüfungsliste'!W14),ZE!M14),FALSE)</f>
        <v>0</v>
      </c>
      <c r="H14" t="b">
        <f>IF(Prüfungsliste!G14&lt;&gt;"",AND(G14,IF(Prüfungsliste!AB14=1,TRUE,IF(Prüfungsliste!AB14=2,Prüfungsliste!AE14&gt;0,IF(Prüfungsliste!AB14=3,AND(Prüfungsliste!AF14&lt;&gt;"",Prüfungsliste!AG14&lt;&gt;""),FALSE)))),FALSE)</f>
        <v>0</v>
      </c>
      <c r="I14" t="b">
        <f>IF(Prüfungsliste!AB14=2,
 TRUE,
 AND(NOT(M14),
  Prüfungsliste!AD14&gt;=F14))</f>
        <v>1</v>
      </c>
      <c r="J14" t="b">
        <f>IF(Prüfungsliste!AB14=1,
 I14,
 IF(Prüfungsliste!AB14=2,
  Prüfungsliste!AE14+Prüfungsliste!AD14&gt;=F14,
  IF(Prüfungsliste!AB14=3,
   IF(I14,1,0)+IF(Prüfungsliste!AF14="B",1,0)+IF(Prüfungsliste!AG14="B",1,0)&gt;=2,
   FALSE)))</f>
        <v>0</v>
      </c>
      <c r="K14" t="b">
        <f>IF(OR(Prüfungsliste!AB14=1,Prüfungsliste!AB14=3),COUNTIF(Prüfungsliste!H14:W14,1)&gt;=1,FALSE)</f>
        <v>0</v>
      </c>
      <c r="L14" t="b">
        <f>IF(AND(Prüfungsliste!G14="5. Dan",Prüfungsliste!T14&lt;&gt;""),OR(AND(Prüfungsliste!T14&lt;=2,OR(Prüfungsliste!AF14="NB",Prüfungsliste!AG14="NB")),AND(Prüfungsliste!AF14="NB",Prüfungsliste!AG14="NB")),FALSE)</f>
        <v>0</v>
      </c>
      <c r="M14" t="b">
        <f>OR(ZE!K14,ZE!L14)</f>
        <v>0</v>
      </c>
      <c r="N14" t="str">
        <f>IF(Prüfungsliste!D14&lt;&gt;"",YEARFRAC(PTag,Prüfungsliste!D14),"")</f>
        <v/>
      </c>
      <c r="O14" t="str">
        <f t="shared" si="1"/>
        <v/>
      </c>
      <c r="P14" t="str">
        <f>Prüfungsliste!G14&amp;O14&amp;Prüfungsliste!AI14</f>
        <v/>
      </c>
      <c r="Q14" t="str">
        <f>IF(Prüfungsliste!G14&lt;&gt;"",VLOOKUP(Prüfungsliste!G14,nst,34,FALSE),"")</f>
        <v/>
      </c>
      <c r="Y14" t="str">
        <f>IF(Prüfungsliste!B14&lt;&gt;"",TRIM(IF(FIND(",",Prüfungsliste!B14&amp;",",1)&lt;LEN(Prüfungsliste!B14)+1,RIGHT(Prüfungsliste!B14,LEN(Prüfungsliste!B14)-FIND(",",Prüfungsliste!B14,1))&amp;" "&amp;LEFT(Prüfungsliste!B14,FIND(",",Prüfungsliste!B14,1)-1),Prüfungsliste!B14)),"")</f>
        <v/>
      </c>
      <c r="Z14" t="b">
        <f>OR(Prüfungsliste!AI14="B",Prüfungsliste!AI14="")</f>
        <v>1</v>
      </c>
    </row>
    <row r="15" spans="1:26" x14ac:dyDescent="0.2">
      <c r="A15" s="11" t="b">
        <f ca="1">AND(Prüfungsliste!D15&lt;&gt;"",Prüfungsliste!D15&gt;Kinderprüfungsgrenze)</f>
        <v>0</v>
      </c>
      <c r="B15" s="12" t="str">
        <f>IF(Prüfungsliste!$F15&lt;&gt;"",VLOOKUP(Prüfungsliste!$F15,nstGrad,IF(A15,3,2),FALSE),"")</f>
        <v/>
      </c>
      <c r="C15" t="b">
        <f>IF(Prüfungsliste!G15&lt;&gt;"",OR(VLOOKUP(Prüfungsliste!G15,nst,3,FALSE)="",VLOOKUP(Prüfungsliste!G15,nst,3,FALSE)&gt;=DATE(YEAR(Prüfungsliste!D15),MONTH(Prüfungsliste!D15),DAY(Prüfungsliste!D15)-C$2)),TRUE)</f>
        <v>1</v>
      </c>
      <c r="D15" t="str">
        <f t="shared" si="0"/>
        <v/>
      </c>
      <c r="E15" t="b">
        <f>IF(Prüfungsliste!G15&lt;&gt;"",OR(VLOOKUP(Prüfungsliste!G15,nst,5,FALSE)="",VLOOKUP(Prüfungsliste!G15,nst,5,FALSE)&gt;=DATE(YEAR(Prüfungsliste!E15),MONTH(Prüfungsliste!E15),DAY(Prüfungsliste!E15)-D15)),TRUE)</f>
        <v>1</v>
      </c>
      <c r="F15" t="str">
        <f>IF(Prüfungsliste!G15&lt;&gt;"",
 IF(Prüfungsliste!AB15=2,
  VLOOKUP(Prüfungsliste!G15,nst,28,FALSE)*2,
  VLOOKUP(Prüfungsliste!G15,nst,28,FALSE)),
 "")</f>
        <v/>
      </c>
      <c r="G15" t="b">
        <f>IF(Prüfungsliste!G15&lt;&gt;"",OR(VLOOKUP(Prüfungsliste!$G15,nst,26,FALSE)=COUNT(Prüfungsliste!H15:'Prüfungsliste'!W15),ZE!M15),FALSE)</f>
        <v>0</v>
      </c>
      <c r="H15" t="b">
        <f>IF(Prüfungsliste!G15&lt;&gt;"",AND(G15,IF(Prüfungsliste!AB15=1,TRUE,IF(Prüfungsliste!AB15=2,Prüfungsliste!AE15&gt;0,IF(Prüfungsliste!AB15=3,AND(Prüfungsliste!AF15&lt;&gt;"",Prüfungsliste!AG15&lt;&gt;""),FALSE)))),FALSE)</f>
        <v>0</v>
      </c>
      <c r="I15" t="b">
        <f>IF(Prüfungsliste!AB15=2,
 TRUE,
 AND(NOT(M15),
  Prüfungsliste!AD15&gt;=F15))</f>
        <v>1</v>
      </c>
      <c r="J15" t="b">
        <f>IF(Prüfungsliste!AB15=1,
 I15,
 IF(Prüfungsliste!AB15=2,
  Prüfungsliste!AE15+Prüfungsliste!AD15&gt;=F15,
  IF(Prüfungsliste!AB15=3,
   IF(I15,1,0)+IF(Prüfungsliste!AF15="B",1,0)+IF(Prüfungsliste!AG15="B",1,0)&gt;=2,
   FALSE)))</f>
        <v>0</v>
      </c>
      <c r="K15" t="b">
        <f>IF(OR(Prüfungsliste!AB15=1,Prüfungsliste!AB15=3),COUNTIF(Prüfungsliste!H15:W15,1)&gt;=1,FALSE)</f>
        <v>0</v>
      </c>
      <c r="L15" t="b">
        <f>IF(AND(Prüfungsliste!G15="5. Dan",Prüfungsliste!T15&lt;&gt;""),OR(AND(Prüfungsliste!T15&lt;=2,OR(Prüfungsliste!AF15="NB",Prüfungsliste!AG15="NB")),AND(Prüfungsliste!AF15="NB",Prüfungsliste!AG15="NB")),FALSE)</f>
        <v>0</v>
      </c>
      <c r="M15" t="b">
        <f>OR(ZE!K15,ZE!L15)</f>
        <v>0</v>
      </c>
      <c r="N15" t="str">
        <f>IF(Prüfungsliste!D15&lt;&gt;"",YEARFRAC(PTag,Prüfungsliste!D15),"")</f>
        <v/>
      </c>
      <c r="O15" t="str">
        <f t="shared" si="1"/>
        <v/>
      </c>
      <c r="P15" t="str">
        <f>Prüfungsliste!G15&amp;O15&amp;Prüfungsliste!AI15</f>
        <v/>
      </c>
      <c r="Q15" t="str">
        <f>IF(Prüfungsliste!G15&lt;&gt;"",VLOOKUP(Prüfungsliste!G15,nst,34,FALSE),"")</f>
        <v/>
      </c>
      <c r="Y15" t="str">
        <f>IF(Prüfungsliste!B15&lt;&gt;"",TRIM(IF(FIND(",",Prüfungsliste!B15&amp;",",1)&lt;LEN(Prüfungsliste!B15)+1,RIGHT(Prüfungsliste!B15,LEN(Prüfungsliste!B15)-FIND(",",Prüfungsliste!B15,1))&amp;" "&amp;LEFT(Prüfungsliste!B15,FIND(",",Prüfungsliste!B15,1)-1),Prüfungsliste!B15)),"")</f>
        <v/>
      </c>
      <c r="Z15" t="b">
        <f>OR(Prüfungsliste!AI15="B",Prüfungsliste!AI15="")</f>
        <v>1</v>
      </c>
    </row>
    <row r="16" spans="1:26" x14ac:dyDescent="0.2">
      <c r="A16" s="11" t="b">
        <f ca="1">AND(Prüfungsliste!D16&lt;&gt;"",Prüfungsliste!D16&gt;Kinderprüfungsgrenze)</f>
        <v>0</v>
      </c>
      <c r="B16" s="12" t="str">
        <f>IF(Prüfungsliste!$F16&lt;&gt;"",VLOOKUP(Prüfungsliste!$F16,nstGrad,IF(A16,3,2),FALSE),"")</f>
        <v/>
      </c>
      <c r="C16" t="b">
        <f>IF(Prüfungsliste!G16&lt;&gt;"",OR(VLOOKUP(Prüfungsliste!G16,nst,3,FALSE)="",VLOOKUP(Prüfungsliste!G16,nst,3,FALSE)&gt;=DATE(YEAR(Prüfungsliste!D16),MONTH(Prüfungsliste!D16),DAY(Prüfungsliste!D16)-C$2)),TRUE)</f>
        <v>1</v>
      </c>
      <c r="D16" t="str">
        <f t="shared" si="0"/>
        <v/>
      </c>
      <c r="E16" t="b">
        <f>IF(Prüfungsliste!G16&lt;&gt;"",OR(VLOOKUP(Prüfungsliste!G16,nst,5,FALSE)="",VLOOKUP(Prüfungsliste!G16,nst,5,FALSE)&gt;=DATE(YEAR(Prüfungsliste!E16),MONTH(Prüfungsliste!E16),DAY(Prüfungsliste!E16)-D16)),TRUE)</f>
        <v>1</v>
      </c>
      <c r="F16" t="str">
        <f>IF(Prüfungsliste!G16&lt;&gt;"",
 IF(Prüfungsliste!AB16=2,
  VLOOKUP(Prüfungsliste!G16,nst,28,FALSE)*2,
  VLOOKUP(Prüfungsliste!G16,nst,28,FALSE)),
 "")</f>
        <v/>
      </c>
      <c r="G16" t="b">
        <f>IF(Prüfungsliste!G16&lt;&gt;"",OR(VLOOKUP(Prüfungsliste!$G16,nst,26,FALSE)=COUNT(Prüfungsliste!H16:'Prüfungsliste'!W16),ZE!M16),FALSE)</f>
        <v>0</v>
      </c>
      <c r="H16" t="b">
        <f>IF(Prüfungsliste!G16&lt;&gt;"",AND(G16,IF(Prüfungsliste!AB16=1,TRUE,IF(Prüfungsliste!AB16=2,Prüfungsliste!AE16&gt;0,IF(Prüfungsliste!AB16=3,AND(Prüfungsliste!AF16&lt;&gt;"",Prüfungsliste!AG16&lt;&gt;""),FALSE)))),FALSE)</f>
        <v>0</v>
      </c>
      <c r="I16" t="b">
        <f>IF(Prüfungsliste!AB16=2,
 TRUE,
 AND(NOT(M16),
  Prüfungsliste!AD16&gt;=F16))</f>
        <v>1</v>
      </c>
      <c r="J16" t="b">
        <f>IF(Prüfungsliste!AB16=1,
 I16,
 IF(Prüfungsliste!AB16=2,
  Prüfungsliste!AE16+Prüfungsliste!AD16&gt;=F16,
  IF(Prüfungsliste!AB16=3,
   IF(I16,1,0)+IF(Prüfungsliste!AF16="B",1,0)+IF(Prüfungsliste!AG16="B",1,0)&gt;=2,
   FALSE)))</f>
        <v>0</v>
      </c>
      <c r="K16" t="b">
        <f>IF(OR(Prüfungsliste!AB16=1,Prüfungsliste!AB16=3),COUNTIF(Prüfungsliste!H16:W16,1)&gt;=1,FALSE)</f>
        <v>0</v>
      </c>
      <c r="L16" t="b">
        <f>IF(AND(Prüfungsliste!G16="5. Dan",Prüfungsliste!T16&lt;&gt;""),OR(AND(Prüfungsliste!T16&lt;=2,OR(Prüfungsliste!AF16="NB",Prüfungsliste!AG16="NB")),AND(Prüfungsliste!AF16="NB",Prüfungsliste!AG16="NB")),FALSE)</f>
        <v>0</v>
      </c>
      <c r="M16" t="b">
        <f>OR(ZE!K16,ZE!L16)</f>
        <v>0</v>
      </c>
      <c r="N16" t="str">
        <f>IF(Prüfungsliste!D16&lt;&gt;"",YEARFRAC(PTag,Prüfungsliste!D16),"")</f>
        <v/>
      </c>
      <c r="O16" t="str">
        <f t="shared" si="1"/>
        <v/>
      </c>
      <c r="P16" t="str">
        <f>Prüfungsliste!G16&amp;O16&amp;Prüfungsliste!AI16</f>
        <v/>
      </c>
      <c r="Q16" t="str">
        <f>IF(Prüfungsliste!G16&lt;&gt;"",VLOOKUP(Prüfungsliste!G16,nst,34,FALSE),"")</f>
        <v/>
      </c>
      <c r="Y16" t="str">
        <f>IF(Prüfungsliste!B16&lt;&gt;"",TRIM(IF(FIND(",",Prüfungsliste!B16&amp;",",1)&lt;LEN(Prüfungsliste!B16)+1,RIGHT(Prüfungsliste!B16,LEN(Prüfungsliste!B16)-FIND(",",Prüfungsliste!B16,1))&amp;" "&amp;LEFT(Prüfungsliste!B16,FIND(",",Prüfungsliste!B16,1)-1),Prüfungsliste!B16)),"")</f>
        <v/>
      </c>
      <c r="Z16" t="b">
        <f>OR(Prüfungsliste!AI16="B",Prüfungsliste!AI16="")</f>
        <v>1</v>
      </c>
    </row>
    <row r="17" spans="1:26" x14ac:dyDescent="0.2">
      <c r="A17" s="11" t="b">
        <f ca="1">AND(Prüfungsliste!D17&lt;&gt;"",Prüfungsliste!D17&gt;Kinderprüfungsgrenze)</f>
        <v>0</v>
      </c>
      <c r="B17" s="12" t="str">
        <f>IF(Prüfungsliste!$F17&lt;&gt;"",VLOOKUP(Prüfungsliste!$F17,nstGrad,IF(A17,3,2),FALSE),"")</f>
        <v/>
      </c>
      <c r="C17" t="b">
        <f>IF(Prüfungsliste!G17&lt;&gt;"",OR(VLOOKUP(Prüfungsliste!G17,nst,3,FALSE)="",VLOOKUP(Prüfungsliste!G17,nst,3,FALSE)&gt;=DATE(YEAR(Prüfungsliste!D17),MONTH(Prüfungsliste!D17),DAY(Prüfungsliste!D17)-C$2)),TRUE)</f>
        <v>1</v>
      </c>
      <c r="D17" t="str">
        <f t="shared" si="0"/>
        <v/>
      </c>
      <c r="E17" t="b">
        <f>IF(Prüfungsliste!G17&lt;&gt;"",OR(VLOOKUP(Prüfungsliste!G17,nst,5,FALSE)="",VLOOKUP(Prüfungsliste!G17,nst,5,FALSE)&gt;=DATE(YEAR(Prüfungsliste!E17),MONTH(Prüfungsliste!E17),DAY(Prüfungsliste!E17)-D17)),TRUE)</f>
        <v>1</v>
      </c>
      <c r="F17" t="str">
        <f>IF(Prüfungsliste!G17&lt;&gt;"",
 IF(Prüfungsliste!AB17=2,
  VLOOKUP(Prüfungsliste!G17,nst,28,FALSE)*2,
  VLOOKUP(Prüfungsliste!G17,nst,28,FALSE)),
 "")</f>
        <v/>
      </c>
      <c r="G17" t="b">
        <f>IF(Prüfungsliste!G17&lt;&gt;"",OR(VLOOKUP(Prüfungsliste!$G17,nst,26,FALSE)=COUNT(Prüfungsliste!H17:'Prüfungsliste'!W17),ZE!M17),FALSE)</f>
        <v>0</v>
      </c>
      <c r="H17" t="b">
        <f>IF(Prüfungsliste!G17&lt;&gt;"",AND(G17,IF(Prüfungsliste!AB17=1,TRUE,IF(Prüfungsliste!AB17=2,Prüfungsliste!AE17&gt;0,IF(Prüfungsliste!AB17=3,AND(Prüfungsliste!AF17&lt;&gt;"",Prüfungsliste!AG17&lt;&gt;""),FALSE)))),FALSE)</f>
        <v>0</v>
      </c>
      <c r="I17" t="b">
        <f>IF(Prüfungsliste!AB17=2,
 TRUE,
 AND(NOT(M17),
  Prüfungsliste!AD17&gt;=F17))</f>
        <v>1</v>
      </c>
      <c r="J17" t="b">
        <f>IF(Prüfungsliste!AB17=1,
 I17,
 IF(Prüfungsliste!AB17=2,
  Prüfungsliste!AE17+Prüfungsliste!AD17&gt;=F17,
  IF(Prüfungsliste!AB17=3,
   IF(I17,1,0)+IF(Prüfungsliste!AF17="B",1,0)+IF(Prüfungsliste!AG17="B",1,0)&gt;=2,
   FALSE)))</f>
        <v>0</v>
      </c>
      <c r="K17" t="b">
        <f>IF(OR(Prüfungsliste!AB17=1,Prüfungsliste!AB17=3),COUNTIF(Prüfungsliste!H17:W17,1)&gt;=1,FALSE)</f>
        <v>0</v>
      </c>
      <c r="L17" t="b">
        <f>IF(AND(Prüfungsliste!G17="5. Dan",Prüfungsliste!T17&lt;&gt;""),OR(AND(Prüfungsliste!T17&lt;=2,OR(Prüfungsliste!AF17="NB",Prüfungsliste!AG17="NB")),AND(Prüfungsliste!AF17="NB",Prüfungsliste!AG17="NB")),FALSE)</f>
        <v>0</v>
      </c>
      <c r="M17" t="b">
        <f>OR(ZE!K17,ZE!L17)</f>
        <v>0</v>
      </c>
      <c r="N17" t="str">
        <f>IF(Prüfungsliste!D17&lt;&gt;"",YEARFRAC(PTag,Prüfungsliste!D17),"")</f>
        <v/>
      </c>
      <c r="O17" t="str">
        <f t="shared" si="1"/>
        <v/>
      </c>
      <c r="P17" t="str">
        <f>Prüfungsliste!G17&amp;O17&amp;Prüfungsliste!AI17</f>
        <v/>
      </c>
      <c r="Q17" t="str">
        <f>IF(Prüfungsliste!G17&lt;&gt;"",VLOOKUP(Prüfungsliste!G17,nst,34,FALSE),"")</f>
        <v/>
      </c>
      <c r="Y17" t="str">
        <f>IF(Prüfungsliste!B17&lt;&gt;"",TRIM(IF(FIND(",",Prüfungsliste!B17&amp;",",1)&lt;LEN(Prüfungsliste!B17)+1,RIGHT(Prüfungsliste!B17,LEN(Prüfungsliste!B17)-FIND(",",Prüfungsliste!B17,1))&amp;" "&amp;LEFT(Prüfungsliste!B17,FIND(",",Prüfungsliste!B17,1)-1),Prüfungsliste!B17)),"")</f>
        <v/>
      </c>
      <c r="Z17" t="b">
        <f>OR(Prüfungsliste!AI17="B",Prüfungsliste!AI17="")</f>
        <v>1</v>
      </c>
    </row>
    <row r="18" spans="1:26" x14ac:dyDescent="0.2">
      <c r="A18" s="11" t="b">
        <f ca="1">AND(Prüfungsliste!D18&lt;&gt;"",Prüfungsliste!D18&gt;Kinderprüfungsgrenze)</f>
        <v>0</v>
      </c>
      <c r="B18" s="12" t="str">
        <f>IF(Prüfungsliste!$F18&lt;&gt;"",VLOOKUP(Prüfungsliste!$F18,nstGrad,IF(A18,3,2),FALSE),"")</f>
        <v/>
      </c>
      <c r="C18" t="b">
        <f>IF(Prüfungsliste!G18&lt;&gt;"",OR(VLOOKUP(Prüfungsliste!G18,nst,3,FALSE)="",VLOOKUP(Prüfungsliste!G18,nst,3,FALSE)&gt;=DATE(YEAR(Prüfungsliste!D18),MONTH(Prüfungsliste!D18),DAY(Prüfungsliste!D18)-C$2)),TRUE)</f>
        <v>1</v>
      </c>
      <c r="D18" t="str">
        <f t="shared" si="0"/>
        <v/>
      </c>
      <c r="E18" t="b">
        <f>IF(Prüfungsliste!G18&lt;&gt;"",OR(VLOOKUP(Prüfungsliste!G18,nst,5,FALSE)="",VLOOKUP(Prüfungsliste!G18,nst,5,FALSE)&gt;=DATE(YEAR(Prüfungsliste!E18),MONTH(Prüfungsliste!E18),DAY(Prüfungsliste!E18)-D18)),TRUE)</f>
        <v>1</v>
      </c>
      <c r="F18" t="str">
        <f>IF(Prüfungsliste!G18&lt;&gt;"",
 IF(Prüfungsliste!AB18=2,
  VLOOKUP(Prüfungsliste!G18,nst,28,FALSE)*2,
  VLOOKUP(Prüfungsliste!G18,nst,28,FALSE)),
 "")</f>
        <v/>
      </c>
      <c r="G18" t="b">
        <f>IF(Prüfungsliste!G18&lt;&gt;"",OR(VLOOKUP(Prüfungsliste!$G18,nst,26,FALSE)=COUNT(Prüfungsliste!H18:'Prüfungsliste'!W18),ZE!M18),FALSE)</f>
        <v>0</v>
      </c>
      <c r="H18" t="b">
        <f>IF(Prüfungsliste!G18&lt;&gt;"",AND(G18,IF(Prüfungsliste!AB18=1,TRUE,IF(Prüfungsliste!AB18=2,Prüfungsliste!AE18&gt;0,IF(Prüfungsliste!AB18=3,AND(Prüfungsliste!AF18&lt;&gt;"",Prüfungsliste!AG18&lt;&gt;""),FALSE)))),FALSE)</f>
        <v>0</v>
      </c>
      <c r="I18" t="b">
        <f>IF(Prüfungsliste!AB18=2,
 TRUE,
 AND(NOT(M18),
  Prüfungsliste!AD18&gt;=F18))</f>
        <v>1</v>
      </c>
      <c r="J18" t="b">
        <f>IF(Prüfungsliste!AB18=1,
 I18,
 IF(Prüfungsliste!AB18=2,
  Prüfungsliste!AE18+Prüfungsliste!AD18&gt;=F18,
  IF(Prüfungsliste!AB18=3,
   IF(I18,1,0)+IF(Prüfungsliste!AF18="B",1,0)+IF(Prüfungsliste!AG18="B",1,0)&gt;=2,
   FALSE)))</f>
        <v>0</v>
      </c>
      <c r="K18" t="b">
        <f>IF(OR(Prüfungsliste!AB18=1,Prüfungsliste!AB18=3),COUNTIF(Prüfungsliste!H18:W18,1)&gt;=1,FALSE)</f>
        <v>0</v>
      </c>
      <c r="L18" t="b">
        <f>IF(AND(Prüfungsliste!G18="5. Dan",Prüfungsliste!T18&lt;&gt;""),OR(AND(Prüfungsliste!T18&lt;=2,OR(Prüfungsliste!AF18="NB",Prüfungsliste!AG18="NB")),AND(Prüfungsliste!AF18="NB",Prüfungsliste!AG18="NB")),FALSE)</f>
        <v>0</v>
      </c>
      <c r="M18" t="b">
        <f>OR(ZE!K18,ZE!L18)</f>
        <v>0</v>
      </c>
      <c r="N18" t="str">
        <f>IF(Prüfungsliste!D18&lt;&gt;"",YEARFRAC(PTag,Prüfungsliste!D18),"")</f>
        <v/>
      </c>
      <c r="O18" t="str">
        <f t="shared" si="1"/>
        <v/>
      </c>
      <c r="P18" t="str">
        <f>Prüfungsliste!G18&amp;O18&amp;Prüfungsliste!AI18</f>
        <v/>
      </c>
      <c r="Q18" t="str">
        <f>IF(Prüfungsliste!G18&lt;&gt;"",VLOOKUP(Prüfungsliste!G18,nst,34,FALSE),"")</f>
        <v/>
      </c>
      <c r="Y18" t="str">
        <f>IF(Prüfungsliste!B18&lt;&gt;"",TRIM(IF(FIND(",",Prüfungsliste!B18&amp;",",1)&lt;LEN(Prüfungsliste!B18)+1,RIGHT(Prüfungsliste!B18,LEN(Prüfungsliste!B18)-FIND(",",Prüfungsliste!B18,1))&amp;" "&amp;LEFT(Prüfungsliste!B18,FIND(",",Prüfungsliste!B18,1)-1),Prüfungsliste!B18)),"")</f>
        <v/>
      </c>
      <c r="Z18" t="b">
        <f>OR(Prüfungsliste!AI18="B",Prüfungsliste!AI18="")</f>
        <v>1</v>
      </c>
    </row>
    <row r="19" spans="1:26" x14ac:dyDescent="0.2">
      <c r="A19" s="11" t="b">
        <f ca="1">AND(Prüfungsliste!D19&lt;&gt;"",Prüfungsliste!D19&gt;Kinderprüfungsgrenze)</f>
        <v>0</v>
      </c>
      <c r="B19" s="12" t="str">
        <f>IF(Prüfungsliste!$F19&lt;&gt;"",VLOOKUP(Prüfungsliste!$F19,nstGrad,IF(A19,3,2),FALSE),"")</f>
        <v/>
      </c>
      <c r="C19" t="b">
        <f>IF(Prüfungsliste!G19&lt;&gt;"",OR(VLOOKUP(Prüfungsliste!G19,nst,3,FALSE)="",VLOOKUP(Prüfungsliste!G19,nst,3,FALSE)&gt;=DATE(YEAR(Prüfungsliste!D19),MONTH(Prüfungsliste!D19),DAY(Prüfungsliste!D19)-C$2)),TRUE)</f>
        <v>1</v>
      </c>
      <c r="D19" t="str">
        <f t="shared" si="0"/>
        <v/>
      </c>
      <c r="E19" t="b">
        <f>IF(Prüfungsliste!G19&lt;&gt;"",OR(VLOOKUP(Prüfungsliste!G19,nst,5,FALSE)="",VLOOKUP(Prüfungsliste!G19,nst,5,FALSE)&gt;=DATE(YEAR(Prüfungsliste!E19),MONTH(Prüfungsliste!E19),DAY(Prüfungsliste!E19)-D19)),TRUE)</f>
        <v>1</v>
      </c>
      <c r="F19" t="str">
        <f>IF(Prüfungsliste!G19&lt;&gt;"",
 IF(Prüfungsliste!AB19=2,
  VLOOKUP(Prüfungsliste!G19,nst,28,FALSE)*2,
  VLOOKUP(Prüfungsliste!G19,nst,28,FALSE)),
 "")</f>
        <v/>
      </c>
      <c r="G19" t="b">
        <f>IF(Prüfungsliste!G19&lt;&gt;"",OR(VLOOKUP(Prüfungsliste!$G19,nst,26,FALSE)=COUNT(Prüfungsliste!H19:'Prüfungsliste'!W19),ZE!M19),FALSE)</f>
        <v>0</v>
      </c>
      <c r="H19" t="b">
        <f>IF(Prüfungsliste!G19&lt;&gt;"",AND(G19,IF(Prüfungsliste!AB19=1,TRUE,IF(Prüfungsliste!AB19=2,Prüfungsliste!AE19&gt;0,IF(Prüfungsliste!AB19=3,AND(Prüfungsliste!AF19&lt;&gt;"",Prüfungsliste!AG19&lt;&gt;""),FALSE)))),FALSE)</f>
        <v>0</v>
      </c>
      <c r="I19" t="b">
        <f>IF(Prüfungsliste!AB19=2,
 TRUE,
 AND(NOT(M19),
  Prüfungsliste!AD19&gt;=F19))</f>
        <v>1</v>
      </c>
      <c r="J19" t="b">
        <f>IF(Prüfungsliste!AB19=1,
 I19,
 IF(Prüfungsliste!AB19=2,
  Prüfungsliste!AE19+Prüfungsliste!AD19&gt;=F19,
  IF(Prüfungsliste!AB19=3,
   IF(I19,1,0)+IF(Prüfungsliste!AF19="B",1,0)+IF(Prüfungsliste!AG19="B",1,0)&gt;=2,
   FALSE)))</f>
        <v>0</v>
      </c>
      <c r="K19" t="b">
        <f>IF(OR(Prüfungsliste!AB19=1,Prüfungsliste!AB19=3),COUNTIF(Prüfungsliste!H19:W19,1)&gt;=1,FALSE)</f>
        <v>0</v>
      </c>
      <c r="L19" t="b">
        <f>IF(AND(Prüfungsliste!G19="5. Dan",Prüfungsliste!T19&lt;&gt;""),OR(AND(Prüfungsliste!T19&lt;=2,OR(Prüfungsliste!AF19="NB",Prüfungsliste!AG19="NB")),AND(Prüfungsliste!AF19="NB",Prüfungsliste!AG19="NB")),FALSE)</f>
        <v>0</v>
      </c>
      <c r="M19" t="b">
        <f>OR(ZE!K19,ZE!L19)</f>
        <v>0</v>
      </c>
      <c r="N19" t="str">
        <f>IF(Prüfungsliste!D19&lt;&gt;"",YEARFRAC(PTag,Prüfungsliste!D19),"")</f>
        <v/>
      </c>
      <c r="O19" t="str">
        <f t="shared" si="1"/>
        <v/>
      </c>
      <c r="P19" t="str">
        <f>Prüfungsliste!G19&amp;O19&amp;Prüfungsliste!AI19</f>
        <v/>
      </c>
      <c r="Q19" t="str">
        <f>IF(Prüfungsliste!G19&lt;&gt;"",VLOOKUP(Prüfungsliste!G19,nst,34,FALSE),"")</f>
        <v/>
      </c>
      <c r="Y19" t="str">
        <f>IF(Prüfungsliste!B19&lt;&gt;"",TRIM(IF(FIND(",",Prüfungsliste!B19&amp;",",1)&lt;LEN(Prüfungsliste!B19)+1,RIGHT(Prüfungsliste!B19,LEN(Prüfungsliste!B19)-FIND(",",Prüfungsliste!B19,1))&amp;" "&amp;LEFT(Prüfungsliste!B19,FIND(",",Prüfungsliste!B19,1)-1),Prüfungsliste!B19)),"")</f>
        <v/>
      </c>
      <c r="Z19" t="b">
        <f>OR(Prüfungsliste!AI19="B",Prüfungsliste!AI19="")</f>
        <v>1</v>
      </c>
    </row>
    <row r="20" spans="1:26" x14ac:dyDescent="0.2">
      <c r="A20" s="11" t="b">
        <f ca="1">AND(Prüfungsliste!D20&lt;&gt;"",Prüfungsliste!D20&gt;Kinderprüfungsgrenze)</f>
        <v>0</v>
      </c>
      <c r="B20" s="12" t="str">
        <f>IF(Prüfungsliste!$F20&lt;&gt;"",VLOOKUP(Prüfungsliste!$F20,nstGrad,IF(A20,3,2),FALSE),"")</f>
        <v/>
      </c>
      <c r="C20" t="b">
        <f>IF(Prüfungsliste!G20&lt;&gt;"",OR(VLOOKUP(Prüfungsliste!G20,nst,3,FALSE)="",VLOOKUP(Prüfungsliste!G20,nst,3,FALSE)&gt;=DATE(YEAR(Prüfungsliste!D20),MONTH(Prüfungsliste!D20),DAY(Prüfungsliste!D20)-C$2)),TRUE)</f>
        <v>1</v>
      </c>
      <c r="D20" t="str">
        <f t="shared" si="0"/>
        <v/>
      </c>
      <c r="E20" t="b">
        <f>IF(Prüfungsliste!G20&lt;&gt;"",OR(VLOOKUP(Prüfungsliste!G20,nst,5,FALSE)="",VLOOKUP(Prüfungsliste!G20,nst,5,FALSE)&gt;=DATE(YEAR(Prüfungsliste!E20),MONTH(Prüfungsliste!E20),DAY(Prüfungsliste!E20)-D20)),TRUE)</f>
        <v>1</v>
      </c>
      <c r="F20" t="str">
        <f>IF(Prüfungsliste!G20&lt;&gt;"",
 IF(Prüfungsliste!AB20=2,
  VLOOKUP(Prüfungsliste!G20,nst,28,FALSE)*2,
  VLOOKUP(Prüfungsliste!G20,nst,28,FALSE)),
 "")</f>
        <v/>
      </c>
      <c r="G20" t="b">
        <f>IF(Prüfungsliste!G20&lt;&gt;"",OR(VLOOKUP(Prüfungsliste!$G20,nst,26,FALSE)=COUNT(Prüfungsliste!H20:'Prüfungsliste'!W20),ZE!M20),FALSE)</f>
        <v>0</v>
      </c>
      <c r="H20" t="b">
        <f>IF(Prüfungsliste!G20&lt;&gt;"",AND(G20,IF(Prüfungsliste!AB20=1,TRUE,IF(Prüfungsliste!AB20=2,Prüfungsliste!AE20&gt;0,IF(Prüfungsliste!AB20=3,AND(Prüfungsliste!AF20&lt;&gt;"",Prüfungsliste!AG20&lt;&gt;""),FALSE)))),FALSE)</f>
        <v>0</v>
      </c>
      <c r="I20" t="b">
        <f>IF(Prüfungsliste!AB20=2,
 TRUE,
 AND(NOT(M20),
  Prüfungsliste!AD20&gt;=F20))</f>
        <v>1</v>
      </c>
      <c r="J20" t="b">
        <f>IF(Prüfungsliste!AB20=1,
 I20,
 IF(Prüfungsliste!AB20=2,
  Prüfungsliste!AE20+Prüfungsliste!AD20&gt;=F20,
  IF(Prüfungsliste!AB20=3,
   IF(I20,1,0)+IF(Prüfungsliste!AF20="B",1,0)+IF(Prüfungsliste!AG20="B",1,0)&gt;=2,
   FALSE)))</f>
        <v>0</v>
      </c>
      <c r="K20" t="b">
        <f>IF(OR(Prüfungsliste!AB20=1,Prüfungsliste!AB20=3),COUNTIF(Prüfungsliste!H20:W20,1)&gt;=1,FALSE)</f>
        <v>0</v>
      </c>
      <c r="L20" t="b">
        <f>IF(AND(Prüfungsliste!G20="5. Dan",Prüfungsliste!T20&lt;&gt;""),OR(AND(Prüfungsliste!T20&lt;=2,OR(Prüfungsliste!AF20="NB",Prüfungsliste!AG20="NB")),AND(Prüfungsliste!AF20="NB",Prüfungsliste!AG20="NB")),FALSE)</f>
        <v>0</v>
      </c>
      <c r="M20" t="b">
        <f>OR(ZE!K20,ZE!L20)</f>
        <v>0</v>
      </c>
      <c r="N20" t="str">
        <f>IF(Prüfungsliste!D20&lt;&gt;"",YEARFRAC(PTag,Prüfungsliste!D20),"")</f>
        <v/>
      </c>
      <c r="O20" t="str">
        <f t="shared" si="1"/>
        <v/>
      </c>
      <c r="P20" t="str">
        <f>Prüfungsliste!G20&amp;O20&amp;Prüfungsliste!AI20</f>
        <v/>
      </c>
      <c r="Q20" t="str">
        <f>IF(Prüfungsliste!G20&lt;&gt;"",VLOOKUP(Prüfungsliste!G20,nst,34,FALSE),"")</f>
        <v/>
      </c>
      <c r="Y20" t="str">
        <f>IF(Prüfungsliste!B20&lt;&gt;"",TRIM(IF(FIND(",",Prüfungsliste!B20&amp;",",1)&lt;LEN(Prüfungsliste!B20)+1,RIGHT(Prüfungsliste!B20,LEN(Prüfungsliste!B20)-FIND(",",Prüfungsliste!B20,1))&amp;" "&amp;LEFT(Prüfungsliste!B20,FIND(",",Prüfungsliste!B20,1)-1),Prüfungsliste!B20)),"")</f>
        <v/>
      </c>
      <c r="Z20" t="b">
        <f>OR(Prüfungsliste!AI20="B",Prüfungsliste!AI20="")</f>
        <v>1</v>
      </c>
    </row>
    <row r="21" spans="1:26" x14ac:dyDescent="0.2">
      <c r="A21" s="11" t="b">
        <f ca="1">AND(Prüfungsliste!D21&lt;&gt;"",Prüfungsliste!D21&gt;Kinderprüfungsgrenze)</f>
        <v>0</v>
      </c>
      <c r="B21" s="12" t="str">
        <f>IF(Prüfungsliste!$F21&lt;&gt;"",VLOOKUP(Prüfungsliste!$F21,nstGrad,IF(A21,3,2),FALSE),"")</f>
        <v/>
      </c>
      <c r="C21" t="b">
        <f>IF(Prüfungsliste!G21&lt;&gt;"",OR(VLOOKUP(Prüfungsliste!G21,nst,3,FALSE)="",VLOOKUP(Prüfungsliste!G21,nst,3,FALSE)&gt;=DATE(YEAR(Prüfungsliste!D21),MONTH(Prüfungsliste!D21),DAY(Prüfungsliste!D21)-C$2)),TRUE)</f>
        <v>1</v>
      </c>
      <c r="D21" t="str">
        <f t="shared" si="0"/>
        <v/>
      </c>
      <c r="E21" t="b">
        <f>IF(Prüfungsliste!G21&lt;&gt;"",OR(VLOOKUP(Prüfungsliste!G21,nst,5,FALSE)="",VLOOKUP(Prüfungsliste!G21,nst,5,FALSE)&gt;=DATE(YEAR(Prüfungsliste!E21),MONTH(Prüfungsliste!E21),DAY(Prüfungsliste!E21)-D21)),TRUE)</f>
        <v>1</v>
      </c>
      <c r="F21" t="str">
        <f>IF(Prüfungsliste!G21&lt;&gt;"",
 IF(Prüfungsliste!AB21=2,
  VLOOKUP(Prüfungsliste!G21,nst,28,FALSE)*2,
  VLOOKUP(Prüfungsliste!G21,nst,28,FALSE)),
 "")</f>
        <v/>
      </c>
      <c r="G21" t="b">
        <f>IF(Prüfungsliste!G21&lt;&gt;"",OR(VLOOKUP(Prüfungsliste!$G21,nst,26,FALSE)=COUNT(Prüfungsliste!H21:'Prüfungsliste'!W21),ZE!M21),FALSE)</f>
        <v>0</v>
      </c>
      <c r="H21" t="b">
        <f>IF(Prüfungsliste!G21&lt;&gt;"",AND(G21,IF(Prüfungsliste!AB21=1,TRUE,IF(Prüfungsliste!AB21=2,Prüfungsliste!AE21&gt;0,IF(Prüfungsliste!AB21=3,AND(Prüfungsliste!AF21&lt;&gt;"",Prüfungsliste!AG21&lt;&gt;""),FALSE)))),FALSE)</f>
        <v>0</v>
      </c>
      <c r="I21" t="b">
        <f>IF(Prüfungsliste!AB21=2,
 TRUE,
 AND(NOT(M21),
  Prüfungsliste!AD21&gt;=F21))</f>
        <v>1</v>
      </c>
      <c r="J21" t="b">
        <f>IF(Prüfungsliste!AB21=1,
 I21,
 IF(Prüfungsliste!AB21=2,
  Prüfungsliste!AE21+Prüfungsliste!AD21&gt;=F21,
  IF(Prüfungsliste!AB21=3,
   IF(I21,1,0)+IF(Prüfungsliste!AF21="B",1,0)+IF(Prüfungsliste!AG21="B",1,0)&gt;=2,
   FALSE)))</f>
        <v>0</v>
      </c>
      <c r="K21" t="b">
        <f>IF(OR(Prüfungsliste!AB21=1,Prüfungsliste!AB21=3),COUNTIF(Prüfungsliste!H21:W21,1)&gt;=1,FALSE)</f>
        <v>0</v>
      </c>
      <c r="L21" t="b">
        <f>IF(AND(Prüfungsliste!G21="5. Dan",Prüfungsliste!T21&lt;&gt;""),OR(AND(Prüfungsliste!T21&lt;=2,OR(Prüfungsliste!AF21="NB",Prüfungsliste!AG21="NB")),AND(Prüfungsliste!AF21="NB",Prüfungsliste!AG21="NB")),FALSE)</f>
        <v>0</v>
      </c>
      <c r="M21" t="b">
        <f>OR(ZE!K21,ZE!L21)</f>
        <v>0</v>
      </c>
      <c r="N21" t="str">
        <f>IF(Prüfungsliste!D21&lt;&gt;"",YEARFRAC(PTag,Prüfungsliste!D21),"")</f>
        <v/>
      </c>
      <c r="O21" t="str">
        <f t="shared" si="1"/>
        <v/>
      </c>
      <c r="P21" t="str">
        <f>Prüfungsliste!G21&amp;O21&amp;Prüfungsliste!AI21</f>
        <v/>
      </c>
      <c r="Q21" t="str">
        <f>IF(Prüfungsliste!G21&lt;&gt;"",VLOOKUP(Prüfungsliste!G21,nst,34,FALSE),"")</f>
        <v/>
      </c>
      <c r="Y21" t="str">
        <f>IF(Prüfungsliste!B21&lt;&gt;"",TRIM(IF(FIND(",",Prüfungsliste!B21&amp;",",1)&lt;LEN(Prüfungsliste!B21)+1,RIGHT(Prüfungsliste!B21,LEN(Prüfungsliste!B21)-FIND(",",Prüfungsliste!B21,1))&amp;" "&amp;LEFT(Prüfungsliste!B21,FIND(",",Prüfungsliste!B21,1)-1),Prüfungsliste!B21)),"")</f>
        <v/>
      </c>
      <c r="Z21" t="b">
        <f>OR(Prüfungsliste!AI21="B",Prüfungsliste!AI21="")</f>
        <v>1</v>
      </c>
    </row>
    <row r="22" spans="1:26" x14ac:dyDescent="0.2">
      <c r="A22" s="11" t="b">
        <f ca="1">AND(Prüfungsliste!D22&lt;&gt;"",Prüfungsliste!D22&gt;Kinderprüfungsgrenze)</f>
        <v>0</v>
      </c>
      <c r="B22" s="12" t="str">
        <f>IF(Prüfungsliste!$F22&lt;&gt;"",VLOOKUP(Prüfungsliste!$F22,nstGrad,IF(A22,3,2),FALSE),"")</f>
        <v/>
      </c>
      <c r="C22" t="b">
        <f>IF(Prüfungsliste!G22&lt;&gt;"",OR(VLOOKUP(Prüfungsliste!G22,nst,3,FALSE)="",VLOOKUP(Prüfungsliste!G22,nst,3,FALSE)&gt;=DATE(YEAR(Prüfungsliste!D22),MONTH(Prüfungsliste!D22),DAY(Prüfungsliste!D22)-C$2)),TRUE)</f>
        <v>1</v>
      </c>
      <c r="D22" t="str">
        <f t="shared" si="0"/>
        <v/>
      </c>
      <c r="E22" t="b">
        <f>IF(Prüfungsliste!G22&lt;&gt;"",OR(VLOOKUP(Prüfungsliste!G22,nst,5,FALSE)="",VLOOKUP(Prüfungsliste!G22,nst,5,FALSE)&gt;=DATE(YEAR(Prüfungsliste!E22),MONTH(Prüfungsliste!E22),DAY(Prüfungsliste!E22)-D22)),TRUE)</f>
        <v>1</v>
      </c>
      <c r="F22" t="str">
        <f>IF(Prüfungsliste!G22&lt;&gt;"",
 IF(Prüfungsliste!AB22=2,
  VLOOKUP(Prüfungsliste!G22,nst,28,FALSE)*2,
  VLOOKUP(Prüfungsliste!G22,nst,28,FALSE)),
 "")</f>
        <v/>
      </c>
      <c r="G22" t="b">
        <f>IF(Prüfungsliste!G22&lt;&gt;"",OR(VLOOKUP(Prüfungsliste!$G22,nst,26,FALSE)=COUNT(Prüfungsliste!H22:'Prüfungsliste'!W22),ZE!M22),FALSE)</f>
        <v>0</v>
      </c>
      <c r="H22" t="b">
        <f>IF(Prüfungsliste!G22&lt;&gt;"",AND(G22,IF(Prüfungsliste!AB22=1,TRUE,IF(Prüfungsliste!AB22=2,Prüfungsliste!AE22&gt;0,IF(Prüfungsliste!AB22=3,AND(Prüfungsliste!AF22&lt;&gt;"",Prüfungsliste!AG22&lt;&gt;""),FALSE)))),FALSE)</f>
        <v>0</v>
      </c>
      <c r="I22" t="b">
        <f>IF(Prüfungsliste!AB22=2,
 TRUE,
 AND(NOT(M22),
  Prüfungsliste!AD22&gt;=F22))</f>
        <v>1</v>
      </c>
      <c r="J22" t="b">
        <f>IF(Prüfungsliste!AB22=1,
 I22,
 IF(Prüfungsliste!AB22=2,
  Prüfungsliste!AE22+Prüfungsliste!AD22&gt;=F22,
  IF(Prüfungsliste!AB22=3,
   IF(I22,1,0)+IF(Prüfungsliste!AF22="B",1,0)+IF(Prüfungsliste!AG22="B",1,0)&gt;=2,
   FALSE)))</f>
        <v>0</v>
      </c>
      <c r="K22" t="b">
        <f>IF(OR(Prüfungsliste!AB22=1,Prüfungsliste!AB22=3),COUNTIF(Prüfungsliste!H22:W22,1)&gt;=1,FALSE)</f>
        <v>0</v>
      </c>
      <c r="L22" t="b">
        <f>IF(AND(Prüfungsliste!G22="5. Dan",Prüfungsliste!T22&lt;&gt;""),OR(AND(Prüfungsliste!T22&lt;=2,OR(Prüfungsliste!AF22="NB",Prüfungsliste!AG22="NB")),AND(Prüfungsliste!AF22="NB",Prüfungsliste!AG22="NB")),FALSE)</f>
        <v>0</v>
      </c>
      <c r="M22" t="b">
        <f>OR(ZE!K22,ZE!L22)</f>
        <v>0</v>
      </c>
      <c r="N22" t="str">
        <f>IF(Prüfungsliste!D22&lt;&gt;"",YEARFRAC(PTag,Prüfungsliste!D22),"")</f>
        <v/>
      </c>
      <c r="O22" t="str">
        <f t="shared" si="1"/>
        <v/>
      </c>
      <c r="P22" t="str">
        <f>Prüfungsliste!G22&amp;O22&amp;Prüfungsliste!AI22</f>
        <v/>
      </c>
      <c r="Q22" t="str">
        <f>IF(Prüfungsliste!G22&lt;&gt;"",VLOOKUP(Prüfungsliste!G22,nst,34,FALSE),"")</f>
        <v/>
      </c>
      <c r="Y22" t="str">
        <f>IF(Prüfungsliste!B22&lt;&gt;"",TRIM(IF(FIND(",",Prüfungsliste!B22&amp;",",1)&lt;LEN(Prüfungsliste!B22)+1,RIGHT(Prüfungsliste!B22,LEN(Prüfungsliste!B22)-FIND(",",Prüfungsliste!B22,1))&amp;" "&amp;LEFT(Prüfungsliste!B22,FIND(",",Prüfungsliste!B22,1)-1),Prüfungsliste!B22)),"")</f>
        <v/>
      </c>
      <c r="Z22" t="b">
        <f>OR(Prüfungsliste!AI22="B",Prüfungsliste!AI22="")</f>
        <v>1</v>
      </c>
    </row>
    <row r="23" spans="1:26" x14ac:dyDescent="0.2">
      <c r="A23" s="11" t="b">
        <f ca="1">AND(Prüfungsliste!D23&lt;&gt;"",Prüfungsliste!D23&gt;Kinderprüfungsgrenze)</f>
        <v>0</v>
      </c>
      <c r="B23" s="12" t="str">
        <f>IF(Prüfungsliste!$F23&lt;&gt;"",VLOOKUP(Prüfungsliste!$F23,nstGrad,IF(A23,3,2),FALSE),"")</f>
        <v/>
      </c>
      <c r="C23" t="b">
        <f>IF(Prüfungsliste!G23&lt;&gt;"",OR(VLOOKUP(Prüfungsliste!G23,nst,3,FALSE)="",VLOOKUP(Prüfungsliste!G23,nst,3,FALSE)&gt;=DATE(YEAR(Prüfungsliste!D23),MONTH(Prüfungsliste!D23),DAY(Prüfungsliste!D23)-C$2)),TRUE)</f>
        <v>1</v>
      </c>
      <c r="D23" t="str">
        <f t="shared" si="0"/>
        <v/>
      </c>
      <c r="E23" t="b">
        <f>IF(Prüfungsliste!G23&lt;&gt;"",OR(VLOOKUP(Prüfungsliste!G23,nst,5,FALSE)="",VLOOKUP(Prüfungsliste!G23,nst,5,FALSE)&gt;=DATE(YEAR(Prüfungsliste!E23),MONTH(Prüfungsliste!E23),DAY(Prüfungsliste!E23)-D23)),TRUE)</f>
        <v>1</v>
      </c>
      <c r="F23" t="str">
        <f>IF(Prüfungsliste!G23&lt;&gt;"",
 IF(Prüfungsliste!AB23=2,
  VLOOKUP(Prüfungsliste!G23,nst,28,FALSE)*2,
  VLOOKUP(Prüfungsliste!G23,nst,28,FALSE)),
 "")</f>
        <v/>
      </c>
      <c r="G23" t="b">
        <f>IF(Prüfungsliste!G23&lt;&gt;"",OR(VLOOKUP(Prüfungsliste!$G23,nst,26,FALSE)=COUNT(Prüfungsliste!H23:'Prüfungsliste'!W23),ZE!M23),FALSE)</f>
        <v>0</v>
      </c>
      <c r="H23" t="b">
        <f>IF(Prüfungsliste!G23&lt;&gt;"",AND(G23,IF(Prüfungsliste!AB23=1,TRUE,IF(Prüfungsliste!AB23=2,Prüfungsliste!AE23&gt;0,IF(Prüfungsliste!AB23=3,AND(Prüfungsliste!AF23&lt;&gt;"",Prüfungsliste!AG23&lt;&gt;""),FALSE)))),FALSE)</f>
        <v>0</v>
      </c>
      <c r="I23" t="b">
        <f>IF(Prüfungsliste!AB23=2,
 TRUE,
 AND(NOT(M23),
  Prüfungsliste!AD23&gt;=F23))</f>
        <v>1</v>
      </c>
      <c r="J23" t="b">
        <f>IF(Prüfungsliste!AB23=1,
 I23,
 IF(Prüfungsliste!AB23=2,
  Prüfungsliste!AE23+Prüfungsliste!AD23&gt;=F23,
  IF(Prüfungsliste!AB23=3,
   IF(I23,1,0)+IF(Prüfungsliste!AF23="B",1,0)+IF(Prüfungsliste!AG23="B",1,0)&gt;=2,
   FALSE)))</f>
        <v>0</v>
      </c>
      <c r="K23" t="b">
        <f>IF(OR(Prüfungsliste!AB23=1,Prüfungsliste!AB23=3),COUNTIF(Prüfungsliste!H23:W23,1)&gt;=1,FALSE)</f>
        <v>0</v>
      </c>
      <c r="L23" t="b">
        <f>IF(AND(Prüfungsliste!G23="5. Dan",Prüfungsliste!T23&lt;&gt;""),OR(AND(Prüfungsliste!T23&lt;=2,OR(Prüfungsliste!AF23="NB",Prüfungsliste!AG23="NB")),AND(Prüfungsliste!AF23="NB",Prüfungsliste!AG23="NB")),FALSE)</f>
        <v>0</v>
      </c>
      <c r="M23" t="b">
        <f>OR(ZE!K23,ZE!L23)</f>
        <v>0</v>
      </c>
      <c r="N23" t="str">
        <f>IF(Prüfungsliste!D23&lt;&gt;"",YEARFRAC(PTag,Prüfungsliste!D23),"")</f>
        <v/>
      </c>
      <c r="O23" t="str">
        <f t="shared" si="1"/>
        <v/>
      </c>
      <c r="P23" t="str">
        <f>Prüfungsliste!G23&amp;O23&amp;Prüfungsliste!AI23</f>
        <v/>
      </c>
      <c r="Q23" t="str">
        <f>IF(Prüfungsliste!G23&lt;&gt;"",VLOOKUP(Prüfungsliste!G23,nst,34,FALSE),"")</f>
        <v/>
      </c>
      <c r="Y23" t="str">
        <f>IF(Prüfungsliste!B23&lt;&gt;"",TRIM(IF(FIND(",",Prüfungsliste!B23&amp;",",1)&lt;LEN(Prüfungsliste!B23)+1,RIGHT(Prüfungsliste!B23,LEN(Prüfungsliste!B23)-FIND(",",Prüfungsliste!B23,1))&amp;" "&amp;LEFT(Prüfungsliste!B23,FIND(",",Prüfungsliste!B23,1)-1),Prüfungsliste!B23)),"")</f>
        <v/>
      </c>
      <c r="Z23" t="b">
        <f>OR(Prüfungsliste!AI23="B",Prüfungsliste!AI23="")</f>
        <v>1</v>
      </c>
    </row>
  </sheetData>
  <sheetProtection sheet="1"/>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19</vt:i4>
      </vt:variant>
    </vt:vector>
  </HeadingPairs>
  <TitlesOfParts>
    <vt:vector size="28" baseType="lpstr">
      <vt:lpstr>Außenseite</vt:lpstr>
      <vt:lpstr>Prüfungsliste</vt:lpstr>
      <vt:lpstr>Statistik</vt:lpstr>
      <vt:lpstr>Kyuurkunde</vt:lpstr>
      <vt:lpstr>Jugendurkunde</vt:lpstr>
      <vt:lpstr>Danurkunde ab 2025</vt:lpstr>
      <vt:lpstr>Danurkunde bis 2025</vt:lpstr>
      <vt:lpstr>MV</vt:lpstr>
      <vt:lpstr>ZE</vt:lpstr>
      <vt:lpstr>angestrebterGrad</vt:lpstr>
      <vt:lpstr>AStufe</vt:lpstr>
      <vt:lpstr>AStufen</vt:lpstr>
      <vt:lpstr>Ausrichter</vt:lpstr>
      <vt:lpstr>bisherigerGrad</vt:lpstr>
      <vt:lpstr>bNb</vt:lpstr>
      <vt:lpstr>Danprüfung</vt:lpstr>
      <vt:lpstr>'Danurkunde ab 2025'!Druckbereich</vt:lpstr>
      <vt:lpstr>'Danurkunde bis 2025'!Druckbereich</vt:lpstr>
      <vt:lpstr>Jugendurkunde!Druckbereich</vt:lpstr>
      <vt:lpstr>Kyuurkunde!Druckbereich</vt:lpstr>
      <vt:lpstr>Kinderprüfungsgrenze</vt:lpstr>
      <vt:lpstr>Kyuprüfung</vt:lpstr>
      <vt:lpstr>mindestalterErreicht</vt:lpstr>
      <vt:lpstr>nst</vt:lpstr>
      <vt:lpstr>nstGrad</vt:lpstr>
      <vt:lpstr>PTag</vt:lpstr>
      <vt:lpstr>vorbereitungszeitErreicht</vt:lpstr>
      <vt:lpstr>vorereitungszeitErreicht</vt:lpstr>
    </vt:vector>
  </TitlesOfParts>
  <Company>DJJV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Prüfungsliste Ju-Jutsu</dc:title>
  <dc:subject>Prüfungsliste Ju-Jutsu</dc:subject>
  <dc:creator>Jens Dykow</dc:creator>
  <cp:keywords>Prüfungsliste, Ju-Jutsu, DJJV</cp:keywords>
  <cp:lastModifiedBy>Jens Dykow</cp:lastModifiedBy>
  <cp:lastPrinted>2025-10-22T09:37:18Z</cp:lastPrinted>
  <dcterms:created xsi:type="dcterms:W3CDTF">1999-05-10T14:48:00Z</dcterms:created>
  <dcterms:modified xsi:type="dcterms:W3CDTF">2026-01-18T16:07:29Z</dcterms:modified>
</cp:coreProperties>
</file>